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r.gailiene\Desktop\"/>
    </mc:Choice>
  </mc:AlternateContent>
  <xr:revisionPtr revIDLastSave="0" documentId="8_{4746E2A1-5C97-4801-A492-BEDF6CAAC606}" xr6:coauthVersionLast="47" xr6:coauthVersionMax="47" xr10:uidLastSave="{00000000-0000-0000-0000-000000000000}"/>
  <bookViews>
    <workbookView xWindow="-120" yWindow="-120" windowWidth="29040" windowHeight="1584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91029"/>
</workbook>
</file>

<file path=xl/calcChain.xml><?xml version="1.0" encoding="utf-8"?>
<calcChain xmlns="http://schemas.openxmlformats.org/spreadsheetml/2006/main">
  <c r="E29" i="8" l="1"/>
  <c r="E144" i="12"/>
  <c r="E80" i="10"/>
  <c r="E69" i="10"/>
  <c r="E68" i="10" s="1"/>
  <c r="E130" i="12"/>
  <c r="E49" i="8"/>
  <c r="J133" i="11"/>
  <c r="K116" i="11"/>
  <c r="K31" i="11" s="1"/>
  <c r="O115" i="11"/>
  <c r="O114" i="11" s="1"/>
  <c r="J130" i="11"/>
  <c r="J129" i="11"/>
  <c r="O109" i="11"/>
  <c r="O108" i="11" s="1"/>
  <c r="J125" i="11"/>
  <c r="J124" i="11"/>
  <c r="O103" i="11"/>
  <c r="J122" i="11"/>
  <c r="J121" i="11"/>
  <c r="O98" i="11"/>
  <c r="H117" i="11"/>
  <c r="G117" i="11"/>
  <c r="F131" i="11"/>
  <c r="H113" i="11"/>
  <c r="F128" i="11"/>
  <c r="F127" i="11"/>
  <c r="F126" i="11"/>
  <c r="F125" i="11"/>
  <c r="F123" i="11"/>
  <c r="H102" i="11"/>
  <c r="H16" i="11" s="1"/>
  <c r="I98" i="11"/>
  <c r="I97" i="11" s="1"/>
  <c r="L116" i="11"/>
  <c r="N115" i="11"/>
  <c r="N113" i="11"/>
  <c r="L110" i="11"/>
  <c r="N109" i="11"/>
  <c r="N105" i="11"/>
  <c r="N19" i="11" s="1"/>
  <c r="P104" i="11"/>
  <c r="I103" i="11"/>
  <c r="L102" i="11"/>
  <c r="L78" i="11"/>
  <c r="J95" i="11"/>
  <c r="O77" i="11"/>
  <c r="P76" i="11"/>
  <c r="P75" i="11" s="1"/>
  <c r="O76" i="11"/>
  <c r="M76" i="11"/>
  <c r="M75" i="11" s="1"/>
  <c r="N74" i="11"/>
  <c r="M74" i="11"/>
  <c r="J92" i="11"/>
  <c r="J91" i="11"/>
  <c r="D91" i="11" s="1"/>
  <c r="O71" i="11"/>
  <c r="P70" i="11"/>
  <c r="P69" i="11" s="1"/>
  <c r="O70" i="11"/>
  <c r="J89" i="11"/>
  <c r="J88" i="11"/>
  <c r="K67" i="11"/>
  <c r="O64" i="11"/>
  <c r="M64" i="11"/>
  <c r="N63" i="11"/>
  <c r="K63" i="11"/>
  <c r="K62" i="11"/>
  <c r="J62" i="11" s="1"/>
  <c r="O60" i="11"/>
  <c r="O59" i="11"/>
  <c r="J81" i="11"/>
  <c r="D81" i="11" s="1"/>
  <c r="N58" i="11"/>
  <c r="F93" i="11"/>
  <c r="I71" i="11"/>
  <c r="F71" i="11" s="1"/>
  <c r="G71" i="11"/>
  <c r="I70" i="11"/>
  <c r="F88" i="11"/>
  <c r="F87" i="11"/>
  <c r="F85" i="11"/>
  <c r="F82" i="11"/>
  <c r="I59" i="11"/>
  <c r="G58" i="11"/>
  <c r="E68" i="11"/>
  <c r="E22" i="11" s="1"/>
  <c r="E58" i="11"/>
  <c r="P74" i="11"/>
  <c r="I73" i="11"/>
  <c r="N68" i="11"/>
  <c r="N22" i="11" s="1"/>
  <c r="P67" i="11"/>
  <c r="L64" i="11"/>
  <c r="P63" i="11"/>
  <c r="L62" i="11"/>
  <c r="H60" i="11"/>
  <c r="K59" i="11"/>
  <c r="M58" i="11"/>
  <c r="P52" i="11"/>
  <c r="J53" i="11"/>
  <c r="F54" i="11"/>
  <c r="E52" i="11"/>
  <c r="O49" i="11"/>
  <c r="F50" i="11"/>
  <c r="E49" i="11"/>
  <c r="O46" i="11"/>
  <c r="K46" i="11"/>
  <c r="G46" i="11"/>
  <c r="N43" i="11"/>
  <c r="J45" i="11"/>
  <c r="O43" i="11"/>
  <c r="L43" i="11"/>
  <c r="J40" i="11"/>
  <c r="O38" i="11"/>
  <c r="F41" i="11"/>
  <c r="F40" i="11"/>
  <c r="K34" i="11"/>
  <c r="F37" i="11"/>
  <c r="P117" i="7"/>
  <c r="P32" i="7" s="1"/>
  <c r="O116" i="7"/>
  <c r="L115" i="7"/>
  <c r="L114" i="7" s="1"/>
  <c r="N113" i="7"/>
  <c r="N28" i="7" s="1"/>
  <c r="J130" i="7"/>
  <c r="P112" i="7"/>
  <c r="P111" i="7" s="1"/>
  <c r="O110" i="7"/>
  <c r="M109" i="7"/>
  <c r="M108" i="7" s="1"/>
  <c r="M107" i="7"/>
  <c r="K107" i="7"/>
  <c r="K106" i="7" s="1"/>
  <c r="N105" i="7"/>
  <c r="O104" i="7"/>
  <c r="N104" i="7"/>
  <c r="M103" i="7"/>
  <c r="J123" i="7"/>
  <c r="M102" i="7"/>
  <c r="M101" i="7" s="1"/>
  <c r="K102" i="7"/>
  <c r="O100" i="7"/>
  <c r="J121" i="7"/>
  <c r="O99" i="7"/>
  <c r="L99" i="7"/>
  <c r="J99" i="7" s="1"/>
  <c r="J119" i="7"/>
  <c r="G117" i="7"/>
  <c r="G116" i="7"/>
  <c r="G31" i="7" s="1"/>
  <c r="H115" i="7"/>
  <c r="F128" i="7"/>
  <c r="F127" i="7"/>
  <c r="F126" i="7"/>
  <c r="H105" i="7"/>
  <c r="I104" i="7"/>
  <c r="H103" i="7"/>
  <c r="F120" i="7"/>
  <c r="E107" i="7"/>
  <c r="I117" i="7"/>
  <c r="I32" i="7" s="1"/>
  <c r="L116" i="7"/>
  <c r="N115" i="7"/>
  <c r="P109" i="7"/>
  <c r="N107" i="7"/>
  <c r="N106" i="7" s="1"/>
  <c r="I105" i="7"/>
  <c r="I19" i="7" s="1"/>
  <c r="L104" i="7"/>
  <c r="N103" i="7"/>
  <c r="N76" i="7"/>
  <c r="M76" i="7"/>
  <c r="M75" i="7" s="1"/>
  <c r="L74" i="7"/>
  <c r="K74" i="7"/>
  <c r="K72" i="7" s="1"/>
  <c r="O71" i="7"/>
  <c r="N70" i="7"/>
  <c r="J89" i="7"/>
  <c r="L68" i="7"/>
  <c r="L22" i="7" s="1"/>
  <c r="K68" i="7"/>
  <c r="K22" i="7" s="1"/>
  <c r="P65" i="7"/>
  <c r="N64" i="7"/>
  <c r="J85" i="7"/>
  <c r="J84" i="7"/>
  <c r="P60" i="7"/>
  <c r="P57" i="7" s="1"/>
  <c r="O60" i="7"/>
  <c r="N59" i="7"/>
  <c r="J81" i="7"/>
  <c r="D81" i="7" s="1"/>
  <c r="L58" i="7"/>
  <c r="J80" i="7"/>
  <c r="I76" i="7"/>
  <c r="H76" i="7"/>
  <c r="G73" i="7"/>
  <c r="F90" i="7"/>
  <c r="D90" i="7" s="1"/>
  <c r="H68" i="7"/>
  <c r="H22" i="7" s="1"/>
  <c r="F88" i="7"/>
  <c r="I64" i="7"/>
  <c r="F85" i="7"/>
  <c r="F82" i="7"/>
  <c r="H58" i="7"/>
  <c r="H57" i="7" s="1"/>
  <c r="G58" i="7"/>
  <c r="O73" i="7"/>
  <c r="L70" i="7"/>
  <c r="M62" i="7"/>
  <c r="O58" i="7"/>
  <c r="J53" i="7"/>
  <c r="F53" i="7"/>
  <c r="M49" i="7"/>
  <c r="K49" i="7"/>
  <c r="F51" i="7"/>
  <c r="F50" i="7"/>
  <c r="M46" i="7"/>
  <c r="J46" i="7" s="1"/>
  <c r="F48" i="7"/>
  <c r="F47" i="7"/>
  <c r="N43" i="7"/>
  <c r="J39" i="7"/>
  <c r="I38" i="7"/>
  <c r="F40" i="7"/>
  <c r="N34" i="7"/>
  <c r="J35" i="7"/>
  <c r="F35" i="7"/>
  <c r="D213" i="5"/>
  <c r="O133" i="5"/>
  <c r="J183" i="5"/>
  <c r="J182" i="5"/>
  <c r="M128" i="5"/>
  <c r="J178" i="5"/>
  <c r="O125" i="5"/>
  <c r="M124" i="5"/>
  <c r="J174" i="5"/>
  <c r="O121" i="5"/>
  <c r="M120" i="5"/>
  <c r="K119" i="5"/>
  <c r="J119" i="5" s="1"/>
  <c r="F183" i="5"/>
  <c r="I129" i="5"/>
  <c r="G127" i="5"/>
  <c r="F127" i="5" s="1"/>
  <c r="F175" i="5"/>
  <c r="F172" i="5"/>
  <c r="D172" i="5" s="1"/>
  <c r="F170" i="5"/>
  <c r="E132" i="5"/>
  <c r="E128" i="5"/>
  <c r="E127" i="5"/>
  <c r="E124" i="5"/>
  <c r="E119" i="5"/>
  <c r="J167" i="5"/>
  <c r="M114" i="5"/>
  <c r="O113" i="5"/>
  <c r="M113" i="5"/>
  <c r="M112" i="5"/>
  <c r="F164" i="5"/>
  <c r="K108" i="5"/>
  <c r="H108" i="5"/>
  <c r="O104" i="5"/>
  <c r="M103" i="5"/>
  <c r="M99" i="5" s="1"/>
  <c r="K102" i="5"/>
  <c r="O100" i="5"/>
  <c r="O99" i="5" s="1"/>
  <c r="F154" i="5"/>
  <c r="F151" i="5"/>
  <c r="O92" i="5"/>
  <c r="O14" i="5" s="1"/>
  <c r="O139" i="5"/>
  <c r="O135" i="5"/>
  <c r="L132" i="5"/>
  <c r="I126" i="5"/>
  <c r="O114" i="5"/>
  <c r="H113" i="5"/>
  <c r="N109" i="5"/>
  <c r="H93" i="5"/>
  <c r="K92" i="5"/>
  <c r="J87" i="5"/>
  <c r="J86" i="5"/>
  <c r="O82" i="5"/>
  <c r="M82" i="5"/>
  <c r="F87" i="5"/>
  <c r="J79" i="5"/>
  <c r="J75" i="5"/>
  <c r="J74" i="5"/>
  <c r="J71" i="5"/>
  <c r="K66" i="5"/>
  <c r="J66" i="5" s="1"/>
  <c r="O66" i="5"/>
  <c r="M66" i="5"/>
  <c r="F79" i="5"/>
  <c r="F76" i="5"/>
  <c r="F74" i="5"/>
  <c r="F71" i="5"/>
  <c r="F68" i="5"/>
  <c r="E66" i="5"/>
  <c r="L63" i="5"/>
  <c r="G63" i="5"/>
  <c r="O57" i="5"/>
  <c r="J60" i="5"/>
  <c r="K57" i="5"/>
  <c r="F60" i="5"/>
  <c r="M52" i="5"/>
  <c r="K52" i="5"/>
  <c r="J52" i="5" s="1"/>
  <c r="H52" i="5"/>
  <c r="F52" i="5" s="1"/>
  <c r="J49" i="5"/>
  <c r="J48" i="5"/>
  <c r="F49" i="5"/>
  <c r="I45" i="5"/>
  <c r="G43" i="5"/>
  <c r="O40" i="5"/>
  <c r="O37" i="5"/>
  <c r="O15" i="5" s="1"/>
  <c r="F36" i="5"/>
  <c r="D36" i="5" s="1"/>
  <c r="O31" i="5"/>
  <c r="G31" i="5"/>
  <c r="M11" i="5"/>
  <c r="J30" i="5"/>
  <c r="J11" i="5" s="1"/>
  <c r="D53" i="4"/>
  <c r="D32" i="3"/>
  <c r="E190" i="12"/>
  <c r="E185" i="12" s="1"/>
  <c r="E83" i="12"/>
  <c r="E69" i="12"/>
  <c r="E62" i="12"/>
  <c r="F133" i="11"/>
  <c r="J132" i="11"/>
  <c r="F132" i="11"/>
  <c r="J131" i="11"/>
  <c r="F129" i="11"/>
  <c r="J128" i="11"/>
  <c r="J127" i="11"/>
  <c r="J126" i="11"/>
  <c r="F124" i="11"/>
  <c r="J123" i="11"/>
  <c r="F121" i="11"/>
  <c r="J120" i="11"/>
  <c r="F120" i="11"/>
  <c r="J119" i="11"/>
  <c r="P117" i="11"/>
  <c r="O117" i="11"/>
  <c r="N117" i="11"/>
  <c r="M117" i="11"/>
  <c r="M32" i="11" s="1"/>
  <c r="L117" i="11"/>
  <c r="K117" i="11"/>
  <c r="P116" i="11"/>
  <c r="O116" i="11"/>
  <c r="N116" i="11"/>
  <c r="M116" i="11"/>
  <c r="M31" i="11" s="1"/>
  <c r="I116" i="11"/>
  <c r="H116" i="11"/>
  <c r="G116" i="11"/>
  <c r="E116" i="11"/>
  <c r="E31" i="11" s="1"/>
  <c r="P115" i="11"/>
  <c r="M115" i="11"/>
  <c r="L115" i="11"/>
  <c r="L114" i="11" s="1"/>
  <c r="K115" i="11"/>
  <c r="I115" i="11"/>
  <c r="G115" i="11"/>
  <c r="E115" i="11"/>
  <c r="D114" i="11"/>
  <c r="P113" i="11"/>
  <c r="O113" i="11"/>
  <c r="L113" i="11"/>
  <c r="K113" i="11"/>
  <c r="I113" i="11"/>
  <c r="G113" i="11"/>
  <c r="E113" i="11"/>
  <c r="O112" i="11"/>
  <c r="O111" i="11" s="1"/>
  <c r="N112" i="11"/>
  <c r="N111" i="11" s="1"/>
  <c r="M112" i="11"/>
  <c r="L112" i="11"/>
  <c r="K112" i="11"/>
  <c r="I112" i="11"/>
  <c r="H112" i="11"/>
  <c r="E112" i="11"/>
  <c r="I111" i="11"/>
  <c r="E111" i="11"/>
  <c r="D111" i="11"/>
  <c r="P110" i="11"/>
  <c r="O110" i="11"/>
  <c r="N110" i="11"/>
  <c r="M110" i="11"/>
  <c r="K110" i="11"/>
  <c r="K25" i="11" s="1"/>
  <c r="I110" i="11"/>
  <c r="H110" i="11"/>
  <c r="G110" i="11"/>
  <c r="E110" i="11"/>
  <c r="P109" i="11"/>
  <c r="P108" i="11" s="1"/>
  <c r="M109" i="11"/>
  <c r="M108" i="11" s="1"/>
  <c r="L109" i="11"/>
  <c r="L24" i="11" s="1"/>
  <c r="K109" i="11"/>
  <c r="K108" i="11" s="1"/>
  <c r="H109" i="11"/>
  <c r="G109" i="11"/>
  <c r="G108" i="11" s="1"/>
  <c r="E109" i="11"/>
  <c r="P107" i="11"/>
  <c r="P106" i="11" s="1"/>
  <c r="O107" i="11"/>
  <c r="O106" i="11" s="1"/>
  <c r="N107" i="11"/>
  <c r="N106" i="11" s="1"/>
  <c r="L107" i="11"/>
  <c r="L106" i="11" s="1"/>
  <c r="K107" i="11"/>
  <c r="I107" i="11"/>
  <c r="F107" i="11" s="1"/>
  <c r="H107" i="11"/>
  <c r="H21" i="11" s="1"/>
  <c r="G107" i="11"/>
  <c r="G106" i="11"/>
  <c r="D106" i="11"/>
  <c r="P105" i="11"/>
  <c r="O105" i="11"/>
  <c r="L105" i="11"/>
  <c r="K105" i="11"/>
  <c r="I105" i="11"/>
  <c r="H105" i="11"/>
  <c r="E105" i="11"/>
  <c r="N104" i="11"/>
  <c r="M104" i="11"/>
  <c r="L104" i="11"/>
  <c r="K104" i="11"/>
  <c r="I104" i="11"/>
  <c r="H104" i="11"/>
  <c r="P103" i="11"/>
  <c r="N103" i="11"/>
  <c r="M103" i="11"/>
  <c r="L103" i="11"/>
  <c r="L17" i="11" s="1"/>
  <c r="K103" i="11"/>
  <c r="G103" i="11"/>
  <c r="E103" i="11"/>
  <c r="E17" i="11" s="1"/>
  <c r="P102" i="11"/>
  <c r="O102" i="11"/>
  <c r="N102" i="11"/>
  <c r="I102" i="11"/>
  <c r="G102" i="11"/>
  <c r="E102" i="11"/>
  <c r="D101" i="11"/>
  <c r="P100" i="11"/>
  <c r="N100" i="11"/>
  <c r="N14" i="11" s="1"/>
  <c r="M100" i="11"/>
  <c r="L100" i="11"/>
  <c r="I100" i="11"/>
  <c r="H100" i="11"/>
  <c r="G100" i="11"/>
  <c r="P99" i="11"/>
  <c r="P13" i="11" s="1"/>
  <c r="O99" i="11"/>
  <c r="N99" i="11"/>
  <c r="M99" i="11"/>
  <c r="L99" i="11"/>
  <c r="L97" i="11" s="1"/>
  <c r="K99" i="11"/>
  <c r="I99" i="11"/>
  <c r="G99" i="11"/>
  <c r="G13" i="11" s="1"/>
  <c r="E99" i="11"/>
  <c r="P98" i="11"/>
  <c r="P97" i="11" s="1"/>
  <c r="N98" i="11"/>
  <c r="M98" i="11"/>
  <c r="M97" i="11" s="1"/>
  <c r="L98" i="11"/>
  <c r="H98" i="11"/>
  <c r="G98" i="11"/>
  <c r="E98" i="11"/>
  <c r="D97" i="11"/>
  <c r="F95" i="11"/>
  <c r="J94" i="11"/>
  <c r="F94" i="11"/>
  <c r="J93" i="11"/>
  <c r="F92" i="11"/>
  <c r="F91" i="11"/>
  <c r="J90" i="11"/>
  <c r="F90" i="11"/>
  <c r="D90" i="11" s="1"/>
  <c r="F89" i="11"/>
  <c r="J86" i="11"/>
  <c r="F86" i="11"/>
  <c r="J84" i="11"/>
  <c r="F84" i="11"/>
  <c r="F83" i="11"/>
  <c r="J82" i="11"/>
  <c r="F81" i="11"/>
  <c r="J80" i="11"/>
  <c r="P78" i="11"/>
  <c r="O78" i="11"/>
  <c r="N78" i="11"/>
  <c r="M78" i="11"/>
  <c r="I78" i="11"/>
  <c r="H78" i="11"/>
  <c r="F78" i="11" s="1"/>
  <c r="G78" i="11"/>
  <c r="E78" i="11"/>
  <c r="P77" i="11"/>
  <c r="N77" i="11"/>
  <c r="M77" i="11"/>
  <c r="L77" i="11"/>
  <c r="K77" i="11"/>
  <c r="I77" i="11"/>
  <c r="H77" i="11"/>
  <c r="H31" i="11" s="1"/>
  <c r="G77" i="11"/>
  <c r="E77" i="11"/>
  <c r="N76" i="11"/>
  <c r="N75" i="11" s="1"/>
  <c r="L76" i="11"/>
  <c r="K76" i="11"/>
  <c r="I76" i="11"/>
  <c r="I75" i="11" s="1"/>
  <c r="G76" i="11"/>
  <c r="E76" i="11"/>
  <c r="E75" i="11" s="1"/>
  <c r="G75" i="11"/>
  <c r="D75" i="11"/>
  <c r="L74" i="11"/>
  <c r="I74" i="11"/>
  <c r="H74" i="11"/>
  <c r="E74" i="11"/>
  <c r="P73" i="11"/>
  <c r="P72" i="11" s="1"/>
  <c r="O73" i="11"/>
  <c r="N73" i="11"/>
  <c r="M73" i="11"/>
  <c r="L73" i="11"/>
  <c r="K73" i="11"/>
  <c r="G73" i="11"/>
  <c r="E73" i="11"/>
  <c r="E72" i="11"/>
  <c r="D72" i="11"/>
  <c r="P71" i="11"/>
  <c r="N71" i="11"/>
  <c r="N25" i="11" s="1"/>
  <c r="M71" i="11"/>
  <c r="M25" i="11" s="1"/>
  <c r="L71" i="11"/>
  <c r="K71" i="11"/>
  <c r="H71" i="11"/>
  <c r="E71" i="11"/>
  <c r="N70" i="11"/>
  <c r="M70" i="11"/>
  <c r="J70" i="11" s="1"/>
  <c r="L70" i="11"/>
  <c r="K70" i="11"/>
  <c r="H70" i="11"/>
  <c r="H69" i="11" s="1"/>
  <c r="G70" i="11"/>
  <c r="E70" i="11"/>
  <c r="L69" i="11"/>
  <c r="K69" i="11"/>
  <c r="D69" i="11"/>
  <c r="P68" i="11"/>
  <c r="O68" i="11"/>
  <c r="O22" i="11" s="1"/>
  <c r="L68" i="11"/>
  <c r="L22" i="11" s="1"/>
  <c r="I68" i="11"/>
  <c r="H68" i="11"/>
  <c r="N67" i="11"/>
  <c r="N66" i="11" s="1"/>
  <c r="M67" i="11"/>
  <c r="L67" i="11"/>
  <c r="I67" i="11"/>
  <c r="H67" i="11"/>
  <c r="H66" i="11" s="1"/>
  <c r="D66" i="11"/>
  <c r="O65" i="11"/>
  <c r="N65" i="11"/>
  <c r="M65" i="11"/>
  <c r="L65" i="11"/>
  <c r="K65" i="11"/>
  <c r="I65" i="11"/>
  <c r="G65" i="11"/>
  <c r="E65" i="11"/>
  <c r="P64" i="11"/>
  <c r="N64" i="11"/>
  <c r="K64" i="11"/>
  <c r="I64" i="11"/>
  <c r="G64" i="11"/>
  <c r="E64" i="11"/>
  <c r="O63" i="11"/>
  <c r="M63" i="11"/>
  <c r="L63" i="11"/>
  <c r="I63" i="11"/>
  <c r="G63" i="11"/>
  <c r="E63" i="11"/>
  <c r="P62" i="11"/>
  <c r="O62" i="11"/>
  <c r="O16" i="11" s="1"/>
  <c r="N62" i="11"/>
  <c r="M62" i="11"/>
  <c r="I62" i="11"/>
  <c r="I61" i="11" s="1"/>
  <c r="H62" i="11"/>
  <c r="G62" i="11"/>
  <c r="F62" i="11" s="1"/>
  <c r="E62" i="11"/>
  <c r="D61" i="11"/>
  <c r="P60" i="11"/>
  <c r="P14" i="11" s="1"/>
  <c r="N60" i="11"/>
  <c r="M60" i="11"/>
  <c r="M14" i="11" s="1"/>
  <c r="L60" i="11"/>
  <c r="L14" i="11" s="1"/>
  <c r="K60" i="11"/>
  <c r="G60" i="11"/>
  <c r="E60" i="11"/>
  <c r="P59" i="11"/>
  <c r="N59" i="11"/>
  <c r="N13" i="11" s="1"/>
  <c r="L59" i="11"/>
  <c r="H59" i="11"/>
  <c r="G59" i="11"/>
  <c r="E59" i="11"/>
  <c r="P58" i="11"/>
  <c r="P12" i="11" s="1"/>
  <c r="O58" i="11"/>
  <c r="L58" i="11"/>
  <c r="K58" i="11"/>
  <c r="I58" i="11"/>
  <c r="H58" i="11"/>
  <c r="D57" i="11"/>
  <c r="J55" i="11"/>
  <c r="F55" i="11"/>
  <c r="D55" i="11" s="1"/>
  <c r="J54" i="11"/>
  <c r="F53" i="11"/>
  <c r="L52" i="11"/>
  <c r="K52" i="11"/>
  <c r="I52" i="11"/>
  <c r="F52" i="11" s="1"/>
  <c r="H52" i="11"/>
  <c r="G52" i="11"/>
  <c r="J51" i="11"/>
  <c r="F51" i="11"/>
  <c r="D51" i="11" s="1"/>
  <c r="J50" i="11"/>
  <c r="P49" i="11"/>
  <c r="N49" i="11"/>
  <c r="M49" i="11"/>
  <c r="L49" i="11"/>
  <c r="K49" i="11"/>
  <c r="H49" i="11"/>
  <c r="G49" i="11"/>
  <c r="J48" i="11"/>
  <c r="F48" i="11"/>
  <c r="J47" i="11"/>
  <c r="F47" i="11"/>
  <c r="P46" i="11"/>
  <c r="N46" i="11"/>
  <c r="M46" i="11"/>
  <c r="L46" i="11"/>
  <c r="I46" i="11"/>
  <c r="H46" i="11"/>
  <c r="E46" i="11"/>
  <c r="F45" i="11"/>
  <c r="J44" i="11"/>
  <c r="F44" i="11"/>
  <c r="P43" i="11"/>
  <c r="M43" i="11"/>
  <c r="K43" i="11"/>
  <c r="I43" i="11"/>
  <c r="H43" i="11"/>
  <c r="G43" i="11"/>
  <c r="E43" i="11"/>
  <c r="J42" i="11"/>
  <c r="D42" i="11" s="1"/>
  <c r="F42" i="11"/>
  <c r="J41" i="11"/>
  <c r="J39" i="11"/>
  <c r="F39" i="11"/>
  <c r="P38" i="11"/>
  <c r="N38" i="11"/>
  <c r="L38" i="11"/>
  <c r="I38" i="11"/>
  <c r="G38" i="11"/>
  <c r="E38" i="11"/>
  <c r="J36" i="11"/>
  <c r="F36" i="11"/>
  <c r="J35" i="11"/>
  <c r="F35" i="11"/>
  <c r="P34" i="11"/>
  <c r="O34" i="11"/>
  <c r="N34" i="11"/>
  <c r="M34" i="11"/>
  <c r="L34" i="11"/>
  <c r="I34" i="11"/>
  <c r="H34" i="11"/>
  <c r="F34" i="11" s="1"/>
  <c r="G34" i="11"/>
  <c r="E34" i="11"/>
  <c r="N32" i="11"/>
  <c r="G31" i="11"/>
  <c r="I30" i="11"/>
  <c r="L28" i="11"/>
  <c r="N27" i="11"/>
  <c r="H24" i="11"/>
  <c r="P22" i="11"/>
  <c r="I22" i="11"/>
  <c r="H22" i="11"/>
  <c r="I19" i="11"/>
  <c r="I18" i="11"/>
  <c r="P16" i="11"/>
  <c r="E13" i="11"/>
  <c r="H12" i="11"/>
  <c r="E76" i="10"/>
  <c r="E62" i="10"/>
  <c r="E52" i="10"/>
  <c r="E64" i="10" s="1"/>
  <c r="E49" i="10"/>
  <c r="E39" i="10"/>
  <c r="E38" i="10" s="1"/>
  <c r="E32" i="10"/>
  <c r="E30" i="10"/>
  <c r="E29" i="10"/>
  <c r="E28" i="10"/>
  <c r="E26" i="10"/>
  <c r="E17" i="10"/>
  <c r="E16" i="10" s="1"/>
  <c r="E34" i="9"/>
  <c r="E33" i="9" s="1"/>
  <c r="E32" i="9"/>
  <c r="E31" i="9" s="1"/>
  <c r="E17" i="9"/>
  <c r="E13" i="9"/>
  <c r="E53" i="8"/>
  <c r="E51" i="8"/>
  <c r="E50" i="8" s="1"/>
  <c r="E48" i="8"/>
  <c r="E47" i="8" s="1"/>
  <c r="E46" i="8"/>
  <c r="E45" i="8"/>
  <c r="E44" i="8"/>
  <c r="E36" i="8"/>
  <c r="E35" i="8"/>
  <c r="E34" i="8"/>
  <c r="E33" i="8"/>
  <c r="E31" i="8"/>
  <c r="E30" i="8"/>
  <c r="E11" i="8"/>
  <c r="J133" i="7"/>
  <c r="F133" i="7"/>
  <c r="J132" i="7"/>
  <c r="D132" i="7" s="1"/>
  <c r="F132" i="7"/>
  <c r="J131" i="7"/>
  <c r="F130" i="7"/>
  <c r="J129" i="7"/>
  <c r="F129" i="7"/>
  <c r="J128" i="7"/>
  <c r="J125" i="7"/>
  <c r="F125" i="7"/>
  <c r="J124" i="7"/>
  <c r="F124" i="7"/>
  <c r="F122" i="7"/>
  <c r="F121" i="7"/>
  <c r="J120" i="7"/>
  <c r="F119" i="7"/>
  <c r="O117" i="7"/>
  <c r="N117" i="7"/>
  <c r="M117" i="7"/>
  <c r="L117" i="7"/>
  <c r="K117" i="7"/>
  <c r="E117" i="7"/>
  <c r="P116" i="7"/>
  <c r="N116" i="7"/>
  <c r="N31" i="7" s="1"/>
  <c r="M116" i="7"/>
  <c r="M31" i="7" s="1"/>
  <c r="I116" i="7"/>
  <c r="H116" i="7"/>
  <c r="E116" i="7"/>
  <c r="P115" i="7"/>
  <c r="P30" i="7" s="1"/>
  <c r="O115" i="7"/>
  <c r="K115" i="7"/>
  <c r="I115" i="7"/>
  <c r="G115" i="7"/>
  <c r="E115" i="7"/>
  <c r="E114" i="7" s="1"/>
  <c r="D114" i="7"/>
  <c r="P113" i="7"/>
  <c r="P28" i="7" s="1"/>
  <c r="O113" i="7"/>
  <c r="M113" i="7"/>
  <c r="M111" i="7" s="1"/>
  <c r="L113" i="7"/>
  <c r="I113" i="7"/>
  <c r="H113" i="7"/>
  <c r="G113" i="7"/>
  <c r="E113" i="7"/>
  <c r="E28" i="7" s="1"/>
  <c r="O112" i="7"/>
  <c r="O111" i="7" s="1"/>
  <c r="N112" i="7"/>
  <c r="M112" i="7"/>
  <c r="L112" i="7"/>
  <c r="L111" i="7" s="1"/>
  <c r="K112" i="7"/>
  <c r="I112" i="7"/>
  <c r="H112" i="7"/>
  <c r="F112" i="7" s="1"/>
  <c r="G112" i="7"/>
  <c r="E112" i="7"/>
  <c r="G111" i="7"/>
  <c r="D111" i="7"/>
  <c r="P110" i="7"/>
  <c r="N110" i="7"/>
  <c r="M110" i="7"/>
  <c r="I110" i="7"/>
  <c r="I108" i="7" s="1"/>
  <c r="H110" i="7"/>
  <c r="G110" i="7"/>
  <c r="E110" i="7"/>
  <c r="N109" i="7"/>
  <c r="L109" i="7"/>
  <c r="K109" i="7"/>
  <c r="J109" i="7" s="1"/>
  <c r="I109" i="7"/>
  <c r="I24" i="7" s="1"/>
  <c r="E109" i="7"/>
  <c r="P107" i="7"/>
  <c r="P106" i="7" s="1"/>
  <c r="O107" i="7"/>
  <c r="O106" i="7" s="1"/>
  <c r="L107" i="7"/>
  <c r="L106" i="7" s="1"/>
  <c r="I107" i="7"/>
  <c r="H107" i="7"/>
  <c r="H106" i="7" s="1"/>
  <c r="I106" i="7"/>
  <c r="D106" i="7"/>
  <c r="P105" i="7"/>
  <c r="O105" i="7"/>
  <c r="M105" i="7"/>
  <c r="L105" i="7"/>
  <c r="K105" i="7"/>
  <c r="G105" i="7"/>
  <c r="G19" i="7" s="1"/>
  <c r="E105" i="7"/>
  <c r="P104" i="7"/>
  <c r="M104" i="7"/>
  <c r="K104" i="7"/>
  <c r="H104" i="7"/>
  <c r="G104" i="7"/>
  <c r="E104" i="7"/>
  <c r="P103" i="7"/>
  <c r="P17" i="7" s="1"/>
  <c r="O103" i="7"/>
  <c r="L103" i="7"/>
  <c r="K103" i="7"/>
  <c r="I103" i="7"/>
  <c r="G103" i="7"/>
  <c r="E103" i="7"/>
  <c r="O102" i="7"/>
  <c r="N102" i="7"/>
  <c r="L102" i="7"/>
  <c r="L101" i="7" s="1"/>
  <c r="I102" i="7"/>
  <c r="H102" i="7"/>
  <c r="E102" i="7"/>
  <c r="D101" i="7"/>
  <c r="P100" i="7"/>
  <c r="N100" i="7"/>
  <c r="N97" i="7" s="1"/>
  <c r="M100" i="7"/>
  <c r="M14" i="7" s="1"/>
  <c r="L100" i="7"/>
  <c r="K100" i="7"/>
  <c r="I100" i="7"/>
  <c r="H100" i="7"/>
  <c r="G100" i="7"/>
  <c r="G14" i="7" s="1"/>
  <c r="E100" i="7"/>
  <c r="P99" i="7"/>
  <c r="P97" i="7" s="1"/>
  <c r="N99" i="7"/>
  <c r="M99" i="7"/>
  <c r="K99" i="7"/>
  <c r="K13" i="7" s="1"/>
  <c r="H99" i="7"/>
  <c r="G99" i="7"/>
  <c r="G97" i="7" s="1"/>
  <c r="E99" i="7"/>
  <c r="E13" i="7" s="1"/>
  <c r="P98" i="7"/>
  <c r="O98" i="7"/>
  <c r="N98" i="7"/>
  <c r="L98" i="7"/>
  <c r="K98" i="7"/>
  <c r="K97" i="7" s="1"/>
  <c r="I98" i="7"/>
  <c r="H98" i="7"/>
  <c r="G98" i="7"/>
  <c r="E98" i="7"/>
  <c r="D97" i="7"/>
  <c r="J95" i="7"/>
  <c r="F95" i="7"/>
  <c r="J94" i="7"/>
  <c r="F94" i="7"/>
  <c r="F93" i="7"/>
  <c r="J92" i="7"/>
  <c r="F92" i="7"/>
  <c r="J91" i="7"/>
  <c r="J90" i="7"/>
  <c r="F89" i="7"/>
  <c r="J87" i="7"/>
  <c r="F87" i="7"/>
  <c r="D87" i="7" s="1"/>
  <c r="J86" i="7"/>
  <c r="F86" i="7"/>
  <c r="F84" i="7"/>
  <c r="J83" i="7"/>
  <c r="F83" i="7"/>
  <c r="J82" i="7"/>
  <c r="F81" i="7"/>
  <c r="P78" i="7"/>
  <c r="O78" i="7"/>
  <c r="N78" i="7"/>
  <c r="N32" i="7" s="1"/>
  <c r="M78" i="7"/>
  <c r="L78" i="7"/>
  <c r="K78" i="7"/>
  <c r="I78" i="7"/>
  <c r="H78" i="7"/>
  <c r="G78" i="7"/>
  <c r="E78" i="7"/>
  <c r="P77" i="7"/>
  <c r="P31" i="7" s="1"/>
  <c r="O77" i="7"/>
  <c r="N77" i="7"/>
  <c r="M77" i="7"/>
  <c r="L77" i="7"/>
  <c r="K77" i="7"/>
  <c r="I77" i="7"/>
  <c r="H77" i="7"/>
  <c r="G77" i="7"/>
  <c r="E77" i="7"/>
  <c r="P76" i="7"/>
  <c r="O76" i="7"/>
  <c r="L76" i="7"/>
  <c r="K76" i="7"/>
  <c r="G76" i="7"/>
  <c r="E76" i="7"/>
  <c r="L75" i="7"/>
  <c r="G75" i="7"/>
  <c r="D75" i="7"/>
  <c r="P74" i="7"/>
  <c r="O74" i="7"/>
  <c r="N74" i="7"/>
  <c r="M74" i="7"/>
  <c r="I74" i="7"/>
  <c r="H74" i="7"/>
  <c r="G74" i="7"/>
  <c r="E74" i="7"/>
  <c r="P73" i="7"/>
  <c r="P72" i="7" s="1"/>
  <c r="N73" i="7"/>
  <c r="M73" i="7"/>
  <c r="M72" i="7" s="1"/>
  <c r="L73" i="7"/>
  <c r="K73" i="7"/>
  <c r="I73" i="7"/>
  <c r="H73" i="7"/>
  <c r="H72" i="7"/>
  <c r="D72" i="7"/>
  <c r="N71" i="7"/>
  <c r="M71" i="7"/>
  <c r="L71" i="7"/>
  <c r="K71" i="7"/>
  <c r="J71" i="7" s="1"/>
  <c r="G71" i="7"/>
  <c r="E71" i="7"/>
  <c r="P70" i="7"/>
  <c r="O70" i="7"/>
  <c r="K70" i="7"/>
  <c r="I70" i="7"/>
  <c r="H70" i="7"/>
  <c r="G70" i="7"/>
  <c r="F70" i="7" s="1"/>
  <c r="E70" i="7"/>
  <c r="D69" i="7"/>
  <c r="P68" i="7"/>
  <c r="O68" i="7"/>
  <c r="O22" i="7" s="1"/>
  <c r="N68" i="7"/>
  <c r="N22" i="7" s="1"/>
  <c r="M68" i="7"/>
  <c r="I68" i="7"/>
  <c r="E68" i="7"/>
  <c r="E22" i="7" s="1"/>
  <c r="P67" i="7"/>
  <c r="O67" i="7"/>
  <c r="O66" i="7" s="1"/>
  <c r="N67" i="7"/>
  <c r="M67" i="7"/>
  <c r="L67" i="7"/>
  <c r="K67" i="7"/>
  <c r="I67" i="7"/>
  <c r="I66" i="7" s="1"/>
  <c r="H67" i="7"/>
  <c r="H66" i="7" s="1"/>
  <c r="G67" i="7"/>
  <c r="E67" i="7"/>
  <c r="E66" i="7" s="1"/>
  <c r="D66" i="7"/>
  <c r="N65" i="7"/>
  <c r="M65" i="7"/>
  <c r="L65" i="7"/>
  <c r="L19" i="7" s="1"/>
  <c r="K65" i="7"/>
  <c r="I65" i="7"/>
  <c r="H65" i="7"/>
  <c r="G65" i="7"/>
  <c r="P64" i="7"/>
  <c r="P18" i="7" s="1"/>
  <c r="O64" i="7"/>
  <c r="L64" i="7"/>
  <c r="K64" i="7"/>
  <c r="K18" i="7" s="1"/>
  <c r="G64" i="7"/>
  <c r="G18" i="7" s="1"/>
  <c r="E64" i="7"/>
  <c r="E18" i="7" s="1"/>
  <c r="P63" i="7"/>
  <c r="O63" i="7"/>
  <c r="N63" i="7"/>
  <c r="M63" i="7"/>
  <c r="L63" i="7"/>
  <c r="I63" i="7"/>
  <c r="H63" i="7"/>
  <c r="G63" i="7"/>
  <c r="G17" i="7" s="1"/>
  <c r="E63" i="7"/>
  <c r="P62" i="7"/>
  <c r="O62" i="7"/>
  <c r="N62" i="7"/>
  <c r="L62" i="7"/>
  <c r="K62" i="7"/>
  <c r="I62" i="7"/>
  <c r="H62" i="7"/>
  <c r="G62" i="7"/>
  <c r="E62" i="7"/>
  <c r="D61" i="7"/>
  <c r="N60" i="7"/>
  <c r="M60" i="7"/>
  <c r="L60" i="7"/>
  <c r="K60" i="7"/>
  <c r="H60" i="7"/>
  <c r="G60" i="7"/>
  <c r="E60" i="7"/>
  <c r="P59" i="7"/>
  <c r="O59" i="7"/>
  <c r="L59" i="7"/>
  <c r="K59" i="7"/>
  <c r="I59" i="7"/>
  <c r="H59" i="7"/>
  <c r="H13" i="7" s="1"/>
  <c r="G59" i="7"/>
  <c r="E59" i="7"/>
  <c r="P58" i="7"/>
  <c r="P12" i="7" s="1"/>
  <c r="N58" i="7"/>
  <c r="M58" i="7"/>
  <c r="I58" i="7"/>
  <c r="D57" i="7"/>
  <c r="J55" i="7"/>
  <c r="F55" i="7"/>
  <c r="D55" i="7" s="1"/>
  <c r="J54" i="7"/>
  <c r="F54" i="7"/>
  <c r="P52" i="7"/>
  <c r="N52" i="7"/>
  <c r="L52" i="7"/>
  <c r="K52" i="7"/>
  <c r="I52" i="7"/>
  <c r="G52" i="7"/>
  <c r="E52" i="7"/>
  <c r="J50" i="7"/>
  <c r="P49" i="7"/>
  <c r="O49" i="7"/>
  <c r="N49" i="7"/>
  <c r="I49" i="7"/>
  <c r="G49" i="7"/>
  <c r="E49" i="7"/>
  <c r="J48" i="7"/>
  <c r="J47" i="7"/>
  <c r="P46" i="7"/>
  <c r="N46" i="7"/>
  <c r="L46" i="7"/>
  <c r="K46" i="7"/>
  <c r="I46" i="7"/>
  <c r="H46" i="7"/>
  <c r="E46" i="7"/>
  <c r="J45" i="7"/>
  <c r="F45" i="7"/>
  <c r="J44" i="7"/>
  <c r="D44" i="7" s="1"/>
  <c r="F44" i="7"/>
  <c r="P43" i="7"/>
  <c r="M43" i="7"/>
  <c r="L43" i="7"/>
  <c r="K43" i="7"/>
  <c r="I43" i="7"/>
  <c r="H43" i="7"/>
  <c r="G43" i="7"/>
  <c r="E43" i="7"/>
  <c r="J42" i="7"/>
  <c r="F42" i="7"/>
  <c r="D42" i="7"/>
  <c r="J41" i="7"/>
  <c r="F41" i="7"/>
  <c r="J40" i="7"/>
  <c r="F39" i="7"/>
  <c r="P38" i="7"/>
  <c r="N38" i="7"/>
  <c r="L38" i="7"/>
  <c r="K38" i="7"/>
  <c r="G38" i="7"/>
  <c r="E38" i="7"/>
  <c r="J37" i="7"/>
  <c r="F37" i="7"/>
  <c r="J36" i="7"/>
  <c r="F36" i="7"/>
  <c r="P34" i="7"/>
  <c r="L34" i="7"/>
  <c r="K34" i="7"/>
  <c r="I34" i="7"/>
  <c r="G34" i="7"/>
  <c r="E34" i="7"/>
  <c r="L32" i="7"/>
  <c r="K32" i="7"/>
  <c r="I31" i="7"/>
  <c r="E31" i="7"/>
  <c r="O30" i="7"/>
  <c r="E30" i="7"/>
  <c r="H28" i="7"/>
  <c r="G28" i="7"/>
  <c r="I27" i="7"/>
  <c r="P22" i="7"/>
  <c r="M22" i="7"/>
  <c r="I22" i="7"/>
  <c r="M19" i="7"/>
  <c r="E17" i="7"/>
  <c r="I16" i="7"/>
  <c r="L14" i="7"/>
  <c r="H14" i="7"/>
  <c r="D11" i="6"/>
  <c r="D230" i="5"/>
  <c r="D210" i="5"/>
  <c r="D206" i="5"/>
  <c r="D201" i="5"/>
  <c r="D194" i="5"/>
  <c r="D192" i="5"/>
  <c r="D189" i="5"/>
  <c r="D187" i="5"/>
  <c r="J185" i="5"/>
  <c r="F185" i="5"/>
  <c r="J184" i="5"/>
  <c r="F184" i="5"/>
  <c r="D184" i="5"/>
  <c r="F182" i="5"/>
  <c r="J181" i="5"/>
  <c r="F181" i="5"/>
  <c r="J180" i="5"/>
  <c r="F180" i="5"/>
  <c r="J179" i="5"/>
  <c r="F179" i="5"/>
  <c r="J177" i="5"/>
  <c r="F177" i="5"/>
  <c r="D177" i="5"/>
  <c r="J176" i="5"/>
  <c r="F176" i="5"/>
  <c r="J175" i="5"/>
  <c r="F174" i="5"/>
  <c r="J173" i="5"/>
  <c r="F173" i="5"/>
  <c r="D173" i="5" s="1"/>
  <c r="J172" i="5"/>
  <c r="F171" i="5"/>
  <c r="J170" i="5"/>
  <c r="J168" i="5"/>
  <c r="F168" i="5"/>
  <c r="F167" i="5"/>
  <c r="J165" i="5"/>
  <c r="F165" i="5"/>
  <c r="J164" i="5"/>
  <c r="J163" i="5"/>
  <c r="F163" i="5"/>
  <c r="J161" i="5"/>
  <c r="F161" i="5"/>
  <c r="D161" i="5"/>
  <c r="J160" i="5"/>
  <c r="F160" i="5"/>
  <c r="D160" i="5" s="1"/>
  <c r="J159" i="5"/>
  <c r="J158" i="5"/>
  <c r="F158" i="5"/>
  <c r="D158" i="5"/>
  <c r="J156" i="5"/>
  <c r="F156" i="5"/>
  <c r="J155" i="5"/>
  <c r="F155" i="5"/>
  <c r="F153" i="5"/>
  <c r="J152" i="5"/>
  <c r="F152" i="5"/>
  <c r="F101" i="5" s="1"/>
  <c r="J151" i="5"/>
  <c r="J149" i="5"/>
  <c r="F149" i="5"/>
  <c r="F98" i="5" s="1"/>
  <c r="J147" i="5"/>
  <c r="F147" i="5"/>
  <c r="J146" i="5"/>
  <c r="F146" i="5"/>
  <c r="J144" i="5"/>
  <c r="F144" i="5"/>
  <c r="D144" i="5" s="1"/>
  <c r="J143" i="5"/>
  <c r="D143" i="5" s="1"/>
  <c r="F143" i="5"/>
  <c r="P140" i="5"/>
  <c r="O140" i="5"/>
  <c r="N140" i="5"/>
  <c r="M140" i="5"/>
  <c r="L140" i="5"/>
  <c r="K140" i="5"/>
  <c r="I140" i="5"/>
  <c r="H140" i="5"/>
  <c r="G140" i="5"/>
  <c r="E140" i="5"/>
  <c r="P139" i="5"/>
  <c r="N139" i="5"/>
  <c r="K139" i="5"/>
  <c r="I139" i="5"/>
  <c r="H139" i="5"/>
  <c r="G139" i="5"/>
  <c r="P138" i="5"/>
  <c r="O138" i="5"/>
  <c r="N138" i="5"/>
  <c r="M138" i="5"/>
  <c r="L138" i="5"/>
  <c r="K138" i="5"/>
  <c r="I138" i="5"/>
  <c r="H138" i="5"/>
  <c r="G138" i="5"/>
  <c r="E138" i="5"/>
  <c r="P137" i="5"/>
  <c r="O137" i="5"/>
  <c r="N137" i="5"/>
  <c r="M137" i="5"/>
  <c r="L137" i="5"/>
  <c r="K137" i="5"/>
  <c r="I137" i="5"/>
  <c r="H137" i="5"/>
  <c r="G137" i="5"/>
  <c r="E137" i="5"/>
  <c r="P136" i="5"/>
  <c r="O136" i="5"/>
  <c r="N136" i="5"/>
  <c r="M136" i="5"/>
  <c r="L136" i="5"/>
  <c r="K136" i="5"/>
  <c r="I136" i="5"/>
  <c r="H136" i="5"/>
  <c r="G136" i="5"/>
  <c r="E136" i="5"/>
  <c r="P135" i="5"/>
  <c r="N135" i="5"/>
  <c r="I135" i="5"/>
  <c r="H135" i="5"/>
  <c r="G135" i="5"/>
  <c r="G134" i="5" s="1"/>
  <c r="I134" i="5"/>
  <c r="P133" i="5"/>
  <c r="N133" i="5"/>
  <c r="M133" i="5"/>
  <c r="L133" i="5"/>
  <c r="K133" i="5"/>
  <c r="J133" i="5"/>
  <c r="I133" i="5"/>
  <c r="H133" i="5"/>
  <c r="G133" i="5"/>
  <c r="E133" i="5"/>
  <c r="P132" i="5"/>
  <c r="O132" i="5"/>
  <c r="N132" i="5"/>
  <c r="K132" i="5"/>
  <c r="I132" i="5"/>
  <c r="G132" i="5"/>
  <c r="P131" i="5"/>
  <c r="O131" i="5"/>
  <c r="N131" i="5"/>
  <c r="M131" i="5"/>
  <c r="L131" i="5"/>
  <c r="I131" i="5"/>
  <c r="H131" i="5"/>
  <c r="G131" i="5"/>
  <c r="F131" i="5" s="1"/>
  <c r="E131" i="5"/>
  <c r="P130" i="5"/>
  <c r="O130" i="5"/>
  <c r="N130" i="5"/>
  <c r="M130" i="5"/>
  <c r="L130" i="5"/>
  <c r="K130" i="5"/>
  <c r="I130" i="5"/>
  <c r="H130" i="5"/>
  <c r="G130" i="5"/>
  <c r="F130" i="5" s="1"/>
  <c r="E130" i="5"/>
  <c r="P129" i="5"/>
  <c r="O129" i="5"/>
  <c r="N129" i="5"/>
  <c r="M129" i="5"/>
  <c r="L129" i="5"/>
  <c r="K129" i="5"/>
  <c r="J129" i="5"/>
  <c r="H129" i="5"/>
  <c r="G129" i="5"/>
  <c r="E129" i="5"/>
  <c r="P128" i="5"/>
  <c r="O128" i="5"/>
  <c r="N128" i="5"/>
  <c r="L128" i="5"/>
  <c r="K128" i="5"/>
  <c r="I128" i="5"/>
  <c r="H128" i="5"/>
  <c r="G128" i="5"/>
  <c r="F128" i="5" s="1"/>
  <c r="P127" i="5"/>
  <c r="O127" i="5"/>
  <c r="N127" i="5"/>
  <c r="M127" i="5"/>
  <c r="L127" i="5"/>
  <c r="I127" i="5"/>
  <c r="H127" i="5"/>
  <c r="K126" i="5"/>
  <c r="P125" i="5"/>
  <c r="N125" i="5"/>
  <c r="M125" i="5"/>
  <c r="L125" i="5"/>
  <c r="K125" i="5"/>
  <c r="J125" i="5" s="1"/>
  <c r="I125" i="5"/>
  <c r="H125" i="5"/>
  <c r="G125" i="5"/>
  <c r="F125" i="5" s="1"/>
  <c r="E125" i="5"/>
  <c r="P124" i="5"/>
  <c r="O124" i="5"/>
  <c r="N124" i="5"/>
  <c r="L124" i="5"/>
  <c r="K124" i="5"/>
  <c r="I124" i="5"/>
  <c r="G124" i="5"/>
  <c r="P123" i="5"/>
  <c r="O123" i="5"/>
  <c r="N123" i="5"/>
  <c r="M123" i="5"/>
  <c r="L123" i="5"/>
  <c r="I123" i="5"/>
  <c r="H123" i="5"/>
  <c r="G123" i="5"/>
  <c r="E123" i="5"/>
  <c r="P122" i="5"/>
  <c r="O122" i="5"/>
  <c r="N122" i="5"/>
  <c r="M122" i="5"/>
  <c r="L122" i="5"/>
  <c r="K122" i="5"/>
  <c r="I122" i="5"/>
  <c r="H122" i="5"/>
  <c r="G122" i="5"/>
  <c r="F122" i="5"/>
  <c r="E122" i="5"/>
  <c r="P121" i="5"/>
  <c r="N121" i="5"/>
  <c r="M121" i="5"/>
  <c r="L121" i="5"/>
  <c r="K121" i="5"/>
  <c r="J121" i="5" s="1"/>
  <c r="H121" i="5"/>
  <c r="G121" i="5"/>
  <c r="E121" i="5"/>
  <c r="P120" i="5"/>
  <c r="O120" i="5"/>
  <c r="N120" i="5"/>
  <c r="L120" i="5"/>
  <c r="K120" i="5"/>
  <c r="I120" i="5"/>
  <c r="H120" i="5"/>
  <c r="G120" i="5"/>
  <c r="F120" i="5" s="1"/>
  <c r="E120" i="5"/>
  <c r="P119" i="5"/>
  <c r="O119" i="5"/>
  <c r="N119" i="5"/>
  <c r="M119" i="5"/>
  <c r="L119" i="5"/>
  <c r="I119" i="5"/>
  <c r="H119" i="5"/>
  <c r="P117" i="5"/>
  <c r="O117" i="5"/>
  <c r="N117" i="5"/>
  <c r="M117" i="5"/>
  <c r="L117" i="5"/>
  <c r="K117" i="5"/>
  <c r="I117" i="5"/>
  <c r="H117" i="5"/>
  <c r="G117" i="5"/>
  <c r="G115" i="5" s="1"/>
  <c r="E117" i="5"/>
  <c r="P116" i="5"/>
  <c r="O116" i="5"/>
  <c r="O115" i="5" s="1"/>
  <c r="N116" i="5"/>
  <c r="N115" i="5" s="1"/>
  <c r="M116" i="5"/>
  <c r="L116" i="5"/>
  <c r="K116" i="5"/>
  <c r="I116" i="5"/>
  <c r="I115" i="5" s="1"/>
  <c r="H116" i="5"/>
  <c r="G116" i="5"/>
  <c r="E116" i="5"/>
  <c r="E115" i="5" s="1"/>
  <c r="P115" i="5"/>
  <c r="M115" i="5"/>
  <c r="D115" i="5"/>
  <c r="P114" i="5"/>
  <c r="L114" i="5"/>
  <c r="K114" i="5"/>
  <c r="I114" i="5"/>
  <c r="H114" i="5"/>
  <c r="G114" i="5"/>
  <c r="F114" i="5" s="1"/>
  <c r="N113" i="5"/>
  <c r="L113" i="5"/>
  <c r="K113" i="5"/>
  <c r="I113" i="5"/>
  <c r="E113" i="5"/>
  <c r="P112" i="5"/>
  <c r="O112" i="5"/>
  <c r="N112" i="5"/>
  <c r="L112" i="5"/>
  <c r="L111" i="5" s="1"/>
  <c r="H112" i="5"/>
  <c r="G112" i="5"/>
  <c r="E112" i="5"/>
  <c r="D111" i="5"/>
  <c r="P110" i="5"/>
  <c r="O110" i="5"/>
  <c r="N110" i="5"/>
  <c r="M110" i="5"/>
  <c r="J110" i="5" s="1"/>
  <c r="L110" i="5"/>
  <c r="K110" i="5"/>
  <c r="I110" i="5"/>
  <c r="H110" i="5"/>
  <c r="G110" i="5"/>
  <c r="E110" i="5"/>
  <c r="P109" i="5"/>
  <c r="O109" i="5"/>
  <c r="L109" i="5"/>
  <c r="K109" i="5"/>
  <c r="I109" i="5"/>
  <c r="H109" i="5"/>
  <c r="G109" i="5"/>
  <c r="E109" i="5"/>
  <c r="P108" i="5"/>
  <c r="O108" i="5"/>
  <c r="N108" i="5"/>
  <c r="M108" i="5"/>
  <c r="L108" i="5"/>
  <c r="I108" i="5"/>
  <c r="G108" i="5"/>
  <c r="E108" i="5"/>
  <c r="P107" i="5"/>
  <c r="O107" i="5"/>
  <c r="N107" i="5"/>
  <c r="N106" i="5" s="1"/>
  <c r="M107" i="5"/>
  <c r="L107" i="5"/>
  <c r="K107" i="5"/>
  <c r="I107" i="5"/>
  <c r="H107" i="5"/>
  <c r="G107" i="5"/>
  <c r="G106" i="5" s="1"/>
  <c r="E107" i="5"/>
  <c r="E106" i="5" s="1"/>
  <c r="I106" i="5"/>
  <c r="D106" i="5"/>
  <c r="P105" i="5"/>
  <c r="O105" i="5"/>
  <c r="N105" i="5"/>
  <c r="M105" i="5"/>
  <c r="L105" i="5"/>
  <c r="K105" i="5"/>
  <c r="J105" i="5" s="1"/>
  <c r="I105" i="5"/>
  <c r="H105" i="5"/>
  <c r="G105" i="5"/>
  <c r="F105" i="5"/>
  <c r="E105" i="5"/>
  <c r="P104" i="5"/>
  <c r="N104" i="5"/>
  <c r="M104" i="5"/>
  <c r="L104" i="5"/>
  <c r="K104" i="5"/>
  <c r="I104" i="5"/>
  <c r="H104" i="5"/>
  <c r="G104" i="5"/>
  <c r="E104" i="5"/>
  <c r="P103" i="5"/>
  <c r="O103" i="5"/>
  <c r="N103" i="5"/>
  <c r="L103" i="5"/>
  <c r="K103" i="5"/>
  <c r="J103" i="5" s="1"/>
  <c r="I103" i="5"/>
  <c r="H103" i="5"/>
  <c r="G103" i="5"/>
  <c r="E103" i="5"/>
  <c r="P102" i="5"/>
  <c r="O102" i="5"/>
  <c r="N102" i="5"/>
  <c r="M102" i="5"/>
  <c r="L102" i="5"/>
  <c r="I102" i="5"/>
  <c r="H102" i="5"/>
  <c r="H99" i="5" s="1"/>
  <c r="G102" i="5"/>
  <c r="F102" i="5"/>
  <c r="E102" i="5"/>
  <c r="P101" i="5"/>
  <c r="O101" i="5"/>
  <c r="N101" i="5"/>
  <c r="M101" i="5"/>
  <c r="L101" i="5"/>
  <c r="K101" i="5"/>
  <c r="J101" i="5" s="1"/>
  <c r="I101" i="5"/>
  <c r="H101" i="5"/>
  <c r="G101" i="5"/>
  <c r="E101" i="5"/>
  <c r="E99" i="5" s="1"/>
  <c r="P100" i="5"/>
  <c r="N100" i="5"/>
  <c r="M100" i="5"/>
  <c r="L100" i="5"/>
  <c r="J100" i="5" s="1"/>
  <c r="K100" i="5"/>
  <c r="K99" i="5" s="1"/>
  <c r="I100" i="5"/>
  <c r="H100" i="5"/>
  <c r="G100" i="5"/>
  <c r="G99" i="5" s="1"/>
  <c r="E100" i="5"/>
  <c r="P99" i="5"/>
  <c r="N99" i="5"/>
  <c r="D99" i="5"/>
  <c r="O98" i="5"/>
  <c r="N98" i="5"/>
  <c r="M98" i="5"/>
  <c r="L98" i="5"/>
  <c r="K98" i="5"/>
  <c r="I98" i="5"/>
  <c r="I97" i="5" s="1"/>
  <c r="H98" i="5"/>
  <c r="H97" i="5" s="1"/>
  <c r="E98" i="5"/>
  <c r="E97" i="5" s="1"/>
  <c r="O97" i="5"/>
  <c r="N97" i="5"/>
  <c r="M97" i="5"/>
  <c r="L97" i="5"/>
  <c r="K97" i="5"/>
  <c r="D97" i="5"/>
  <c r="P96" i="5"/>
  <c r="O96" i="5"/>
  <c r="N96" i="5"/>
  <c r="M96" i="5"/>
  <c r="L96" i="5"/>
  <c r="K96" i="5"/>
  <c r="I96" i="5"/>
  <c r="H96" i="5"/>
  <c r="G96" i="5"/>
  <c r="E96" i="5"/>
  <c r="P95" i="5"/>
  <c r="M95" i="5"/>
  <c r="M94" i="5" s="1"/>
  <c r="L95" i="5"/>
  <c r="K95" i="5"/>
  <c r="K94" i="5" s="1"/>
  <c r="I95" i="5"/>
  <c r="I94" i="5" s="1"/>
  <c r="H95" i="5"/>
  <c r="G95" i="5"/>
  <c r="G94" i="5" s="1"/>
  <c r="L94" i="5"/>
  <c r="D94" i="5"/>
  <c r="P93" i="5"/>
  <c r="O93" i="5"/>
  <c r="N93" i="5"/>
  <c r="M93" i="5"/>
  <c r="L93" i="5"/>
  <c r="K93" i="5"/>
  <c r="I93" i="5"/>
  <c r="G93" i="5"/>
  <c r="E93" i="5"/>
  <c r="P92" i="5"/>
  <c r="N92" i="5"/>
  <c r="N91" i="5" s="1"/>
  <c r="N13" i="5" s="1"/>
  <c r="M92" i="5"/>
  <c r="L92" i="5"/>
  <c r="L91" i="5" s="1"/>
  <c r="I92" i="5"/>
  <c r="I91" i="5" s="1"/>
  <c r="H92" i="5"/>
  <c r="G92" i="5"/>
  <c r="G14" i="5" s="1"/>
  <c r="E92" i="5"/>
  <c r="E14" i="5" s="1"/>
  <c r="D91" i="5"/>
  <c r="J89" i="5"/>
  <c r="F89" i="5"/>
  <c r="J88" i="5"/>
  <c r="F88" i="5"/>
  <c r="D88" i="5" s="1"/>
  <c r="F86" i="5"/>
  <c r="J85" i="5"/>
  <c r="F85" i="5"/>
  <c r="D85" i="5" s="1"/>
  <c r="J84" i="5"/>
  <c r="F84" i="5"/>
  <c r="J83" i="5"/>
  <c r="F83" i="5"/>
  <c r="P82" i="5"/>
  <c r="N82" i="5"/>
  <c r="L82" i="5"/>
  <c r="I82" i="5"/>
  <c r="G82" i="5"/>
  <c r="J81" i="5"/>
  <c r="F81" i="5"/>
  <c r="D81" i="5" s="1"/>
  <c r="J80" i="5"/>
  <c r="F80" i="5"/>
  <c r="J78" i="5"/>
  <c r="D78" i="5" s="1"/>
  <c r="F78" i="5"/>
  <c r="J77" i="5"/>
  <c r="F77" i="5"/>
  <c r="D77" i="5"/>
  <c r="J76" i="5"/>
  <c r="F75" i="5"/>
  <c r="J73" i="5"/>
  <c r="F73" i="5"/>
  <c r="D73" i="5"/>
  <c r="J72" i="5"/>
  <c r="F72" i="5"/>
  <c r="J70" i="5"/>
  <c r="D70" i="5" s="1"/>
  <c r="F70" i="5"/>
  <c r="J69" i="5"/>
  <c r="F69" i="5"/>
  <c r="D69" i="5"/>
  <c r="J68" i="5"/>
  <c r="F67" i="5"/>
  <c r="P66" i="5"/>
  <c r="N66" i="5"/>
  <c r="L66" i="5"/>
  <c r="J65" i="5"/>
  <c r="F65" i="5"/>
  <c r="J64" i="5"/>
  <c r="D64" i="5" s="1"/>
  <c r="F64" i="5"/>
  <c r="P63" i="5"/>
  <c r="O63" i="5"/>
  <c r="N63" i="5"/>
  <c r="M63" i="5"/>
  <c r="K63" i="5"/>
  <c r="I63" i="5"/>
  <c r="H63" i="5"/>
  <c r="E63" i="5"/>
  <c r="J62" i="5"/>
  <c r="D62" i="5" s="1"/>
  <c r="F62" i="5"/>
  <c r="J61" i="5"/>
  <c r="D61" i="5" s="1"/>
  <c r="F61" i="5"/>
  <c r="J59" i="5"/>
  <c r="F59" i="5"/>
  <c r="J58" i="5"/>
  <c r="F58" i="5"/>
  <c r="D58" i="5"/>
  <c r="P57" i="5"/>
  <c r="N57" i="5"/>
  <c r="M57" i="5"/>
  <c r="L57" i="5"/>
  <c r="I57" i="5"/>
  <c r="G57" i="5"/>
  <c r="E57" i="5"/>
  <c r="J56" i="5"/>
  <c r="F56" i="5"/>
  <c r="D56" i="5" s="1"/>
  <c r="J55" i="5"/>
  <c r="D55" i="5" s="1"/>
  <c r="F55" i="5"/>
  <c r="F53" i="5"/>
  <c r="E28" i="9" s="1"/>
  <c r="P52" i="5"/>
  <c r="O52" i="5"/>
  <c r="N52" i="5"/>
  <c r="L52" i="5"/>
  <c r="I52" i="5"/>
  <c r="G52" i="5"/>
  <c r="E52" i="5"/>
  <c r="J51" i="5"/>
  <c r="F51" i="5"/>
  <c r="J50" i="5"/>
  <c r="F50" i="5"/>
  <c r="D50" i="5" s="1"/>
  <c r="F48" i="5"/>
  <c r="J47" i="5"/>
  <c r="F47" i="5"/>
  <c r="D47" i="5" s="1"/>
  <c r="D19" i="5" s="1"/>
  <c r="J46" i="5"/>
  <c r="P45" i="5"/>
  <c r="O45" i="5"/>
  <c r="N45" i="5"/>
  <c r="L45" i="5"/>
  <c r="G45" i="5"/>
  <c r="E45" i="5"/>
  <c r="J44" i="5"/>
  <c r="F44" i="5"/>
  <c r="P43" i="5"/>
  <c r="O43" i="5"/>
  <c r="N43" i="5"/>
  <c r="M43" i="5"/>
  <c r="L43" i="5"/>
  <c r="K43" i="5"/>
  <c r="I43" i="5"/>
  <c r="H43" i="5"/>
  <c r="E43" i="5"/>
  <c r="J42" i="5"/>
  <c r="F42" i="5"/>
  <c r="J41" i="5"/>
  <c r="F41" i="5"/>
  <c r="D41" i="5" s="1"/>
  <c r="P40" i="5"/>
  <c r="N40" i="5"/>
  <c r="M40" i="5"/>
  <c r="L40" i="5"/>
  <c r="K40" i="5"/>
  <c r="J40" i="5" s="1"/>
  <c r="I40" i="5"/>
  <c r="H40" i="5"/>
  <c r="G40" i="5"/>
  <c r="E40" i="5"/>
  <c r="J39" i="5"/>
  <c r="F39" i="5"/>
  <c r="D39" i="5" s="1"/>
  <c r="J38" i="5"/>
  <c r="F38" i="5"/>
  <c r="P37" i="5"/>
  <c r="N37" i="5"/>
  <c r="M37" i="5"/>
  <c r="M15" i="5" s="1"/>
  <c r="L37" i="5"/>
  <c r="K37" i="5"/>
  <c r="I37" i="5"/>
  <c r="I15" i="5" s="1"/>
  <c r="H37" i="5"/>
  <c r="G37" i="5"/>
  <c r="E37" i="5"/>
  <c r="E15" i="5" s="1"/>
  <c r="J36" i="5"/>
  <c r="J35" i="5"/>
  <c r="F35" i="5"/>
  <c r="P34" i="5"/>
  <c r="O34" i="5"/>
  <c r="N34" i="5"/>
  <c r="M34" i="5"/>
  <c r="L34" i="5"/>
  <c r="K34" i="5"/>
  <c r="J34" i="5" s="1"/>
  <c r="I34" i="5"/>
  <c r="H34" i="5"/>
  <c r="E34" i="5"/>
  <c r="J33" i="5"/>
  <c r="D33" i="5" s="1"/>
  <c r="J32" i="5"/>
  <c r="D32" i="5" s="1"/>
  <c r="P31" i="5"/>
  <c r="N31" i="5"/>
  <c r="M31" i="5"/>
  <c r="L31" i="5"/>
  <c r="K31" i="5"/>
  <c r="J31" i="5" s="1"/>
  <c r="J12" i="5" s="1"/>
  <c r="I31" i="5"/>
  <c r="H31" i="5"/>
  <c r="E31" i="5"/>
  <c r="F30" i="5"/>
  <c r="P15" i="5"/>
  <c r="N15" i="5"/>
  <c r="L15" i="5"/>
  <c r="H15" i="5"/>
  <c r="P14" i="5"/>
  <c r="N14" i="5"/>
  <c r="M14" i="5"/>
  <c r="P12" i="5"/>
  <c r="N12" i="5"/>
  <c r="M12" i="5"/>
  <c r="L12" i="5"/>
  <c r="K12" i="5"/>
  <c r="I12" i="5"/>
  <c r="F12" i="5"/>
  <c r="E12" i="5"/>
  <c r="P11" i="5"/>
  <c r="O11" i="5"/>
  <c r="N11" i="5"/>
  <c r="L11" i="5"/>
  <c r="K11" i="5"/>
  <c r="I11" i="5"/>
  <c r="H11" i="5"/>
  <c r="G11" i="5"/>
  <c r="E11" i="5"/>
  <c r="D88" i="4"/>
  <c r="D38" i="4"/>
  <c r="D34" i="4" s="1"/>
  <c r="D35" i="4"/>
  <c r="D31" i="4"/>
  <c r="D27" i="4"/>
  <c r="D12" i="4"/>
  <c r="D17" i="3"/>
  <c r="E19" i="8" l="1"/>
  <c r="E10" i="8" s="1"/>
  <c r="E28" i="8"/>
  <c r="E32" i="8"/>
  <c r="E12" i="9"/>
  <c r="E40" i="9" s="1"/>
  <c r="E129" i="12"/>
  <c r="E55" i="8" s="1"/>
  <c r="E54" i="8" s="1"/>
  <c r="E43" i="8"/>
  <c r="E47" i="10"/>
  <c r="E48" i="10" s="1"/>
  <c r="O97" i="11"/>
  <c r="O96" i="11" s="1"/>
  <c r="P114" i="11"/>
  <c r="O19" i="11"/>
  <c r="K111" i="11"/>
  <c r="M107" i="11"/>
  <c r="L13" i="11"/>
  <c r="O17" i="11"/>
  <c r="K24" i="11"/>
  <c r="D121" i="11"/>
  <c r="K98" i="11"/>
  <c r="K97" i="11" s="1"/>
  <c r="J97" i="11" s="1"/>
  <c r="N108" i="11"/>
  <c r="D125" i="11"/>
  <c r="K100" i="11"/>
  <c r="M111" i="11"/>
  <c r="M113" i="11"/>
  <c r="K114" i="11"/>
  <c r="L21" i="11"/>
  <c r="L20" i="11" s="1"/>
  <c r="N97" i="11"/>
  <c r="N96" i="11" s="1"/>
  <c r="M102" i="11"/>
  <c r="M16" i="11" s="1"/>
  <c r="D129" i="11"/>
  <c r="O100" i="11"/>
  <c r="O14" i="11" s="1"/>
  <c r="P112" i="11"/>
  <c r="P27" i="11" s="1"/>
  <c r="P26" i="11" s="1"/>
  <c r="N101" i="11"/>
  <c r="M114" i="11"/>
  <c r="L101" i="11"/>
  <c r="P28" i="11"/>
  <c r="N114" i="11"/>
  <c r="D133" i="11"/>
  <c r="I117" i="11"/>
  <c r="I32" i="11" s="1"/>
  <c r="H115" i="11"/>
  <c r="H114" i="11" s="1"/>
  <c r="F119" i="11"/>
  <c r="D119" i="11" s="1"/>
  <c r="H99" i="11"/>
  <c r="F99" i="11" s="1"/>
  <c r="F122" i="11"/>
  <c r="D122" i="11" s="1"/>
  <c r="H28" i="11"/>
  <c r="G97" i="11"/>
  <c r="I109" i="11"/>
  <c r="F130" i="11"/>
  <c r="D130" i="11" s="1"/>
  <c r="G105" i="11"/>
  <c r="F105" i="11" s="1"/>
  <c r="F100" i="11"/>
  <c r="D120" i="11"/>
  <c r="H111" i="11"/>
  <c r="D124" i="11"/>
  <c r="I21" i="11"/>
  <c r="D128" i="11"/>
  <c r="D132" i="11"/>
  <c r="E117" i="11"/>
  <c r="D126" i="11"/>
  <c r="E114" i="11"/>
  <c r="I114" i="11"/>
  <c r="J114" i="11"/>
  <c r="P32" i="11"/>
  <c r="J116" i="11"/>
  <c r="E32" i="11"/>
  <c r="L32" i="11"/>
  <c r="L31" i="11"/>
  <c r="F116" i="11"/>
  <c r="I28" i="11"/>
  <c r="G112" i="11"/>
  <c r="M28" i="11"/>
  <c r="E28" i="11"/>
  <c r="N28" i="11"/>
  <c r="L108" i="11"/>
  <c r="L25" i="11"/>
  <c r="J25" i="11" s="1"/>
  <c r="F110" i="11"/>
  <c r="P25" i="11"/>
  <c r="P23" i="11" s="1"/>
  <c r="D108" i="11"/>
  <c r="G25" i="11"/>
  <c r="N24" i="11"/>
  <c r="N23" i="11" s="1"/>
  <c r="H108" i="11"/>
  <c r="O25" i="11"/>
  <c r="K23" i="11"/>
  <c r="H25" i="11"/>
  <c r="H23" i="11" s="1"/>
  <c r="J107" i="11"/>
  <c r="M106" i="11"/>
  <c r="M21" i="11"/>
  <c r="M20" i="11" s="1"/>
  <c r="H106" i="11"/>
  <c r="I106" i="11"/>
  <c r="E107" i="11"/>
  <c r="E106" i="11" s="1"/>
  <c r="K106" i="11"/>
  <c r="P101" i="11"/>
  <c r="K102" i="11"/>
  <c r="H103" i="11"/>
  <c r="H101" i="11" s="1"/>
  <c r="E104" i="11"/>
  <c r="E18" i="11" s="1"/>
  <c r="O104" i="11"/>
  <c r="O18" i="11" s="1"/>
  <c r="O15" i="11" s="1"/>
  <c r="M105" i="11"/>
  <c r="J105" i="11" s="1"/>
  <c r="I101" i="11"/>
  <c r="M18" i="11"/>
  <c r="L19" i="11"/>
  <c r="D96" i="11"/>
  <c r="G104" i="11"/>
  <c r="K19" i="11"/>
  <c r="N17" i="11"/>
  <c r="I17" i="11"/>
  <c r="N18" i="11"/>
  <c r="P17" i="11"/>
  <c r="P15" i="11" s="1"/>
  <c r="P18" i="11"/>
  <c r="O101" i="11"/>
  <c r="J104" i="11"/>
  <c r="L18" i="11"/>
  <c r="I16" i="11"/>
  <c r="I15" i="11" s="1"/>
  <c r="K18" i="11"/>
  <c r="J18" i="11" s="1"/>
  <c r="K12" i="11"/>
  <c r="E100" i="11"/>
  <c r="E14" i="11" s="1"/>
  <c r="J99" i="11"/>
  <c r="E12" i="11"/>
  <c r="J100" i="11"/>
  <c r="K13" i="11"/>
  <c r="I12" i="11"/>
  <c r="F12" i="11" s="1"/>
  <c r="F98" i="11"/>
  <c r="O13" i="11"/>
  <c r="J63" i="11"/>
  <c r="K17" i="11"/>
  <c r="J76" i="11"/>
  <c r="K66" i="11"/>
  <c r="K21" i="11"/>
  <c r="K20" i="11" s="1"/>
  <c r="O69" i="11"/>
  <c r="O75" i="11"/>
  <c r="N57" i="11"/>
  <c r="N12" i="11"/>
  <c r="N11" i="11" s="1"/>
  <c r="O61" i="11"/>
  <c r="J71" i="11"/>
  <c r="J83" i="11"/>
  <c r="D89" i="11"/>
  <c r="O31" i="11"/>
  <c r="D84" i="11"/>
  <c r="D94" i="11"/>
  <c r="L57" i="11"/>
  <c r="M59" i="11"/>
  <c r="M13" i="11" s="1"/>
  <c r="K74" i="11"/>
  <c r="K72" i="11" s="1"/>
  <c r="J72" i="11" s="1"/>
  <c r="J85" i="11"/>
  <c r="D95" i="11"/>
  <c r="N69" i="11"/>
  <c r="M72" i="11"/>
  <c r="L72" i="11"/>
  <c r="K78" i="11"/>
  <c r="J78" i="11" s="1"/>
  <c r="D86" i="11"/>
  <c r="K68" i="11"/>
  <c r="K22" i="11" s="1"/>
  <c r="N72" i="11"/>
  <c r="D87" i="11"/>
  <c r="N21" i="11"/>
  <c r="N20" i="11" s="1"/>
  <c r="L30" i="11"/>
  <c r="M61" i="11"/>
  <c r="J64" i="11"/>
  <c r="J65" i="11"/>
  <c r="J87" i="11"/>
  <c r="D92" i="11"/>
  <c r="P65" i="11"/>
  <c r="P19" i="11" s="1"/>
  <c r="N61" i="11"/>
  <c r="K75" i="11"/>
  <c r="I69" i="11"/>
  <c r="I60" i="11"/>
  <c r="I14" i="11" s="1"/>
  <c r="G61" i="11"/>
  <c r="F80" i="11"/>
  <c r="D80" i="11" s="1"/>
  <c r="H64" i="11"/>
  <c r="G68" i="11"/>
  <c r="H76" i="11"/>
  <c r="F76" i="11" s="1"/>
  <c r="G12" i="11"/>
  <c r="I72" i="11"/>
  <c r="F77" i="11"/>
  <c r="I20" i="11"/>
  <c r="I66" i="11"/>
  <c r="D85" i="11"/>
  <c r="G69" i="11"/>
  <c r="D93" i="11"/>
  <c r="D83" i="11"/>
  <c r="E61" i="11"/>
  <c r="D88" i="11"/>
  <c r="E25" i="11"/>
  <c r="E23" i="11" s="1"/>
  <c r="E69" i="11"/>
  <c r="D82" i="11"/>
  <c r="E30" i="11"/>
  <c r="E29" i="11" s="1"/>
  <c r="N30" i="11"/>
  <c r="H32" i="11"/>
  <c r="O30" i="11"/>
  <c r="I31" i="11"/>
  <c r="I29" i="11" s="1"/>
  <c r="L75" i="11"/>
  <c r="P30" i="11"/>
  <c r="H75" i="11"/>
  <c r="F75" i="11" s="1"/>
  <c r="J77" i="11"/>
  <c r="O32" i="11"/>
  <c r="O29" i="11" s="1"/>
  <c r="G72" i="11"/>
  <c r="F72" i="11" s="1"/>
  <c r="G27" i="11"/>
  <c r="K27" i="11"/>
  <c r="J27" i="11" s="1"/>
  <c r="H73" i="11"/>
  <c r="H72" i="11" s="1"/>
  <c r="O74" i="11"/>
  <c r="M27" i="11"/>
  <c r="G74" i="11"/>
  <c r="F74" i="11" s="1"/>
  <c r="N26" i="11"/>
  <c r="L27" i="11"/>
  <c r="L26" i="11" s="1"/>
  <c r="G24" i="11"/>
  <c r="I25" i="11"/>
  <c r="F70" i="11"/>
  <c r="D56" i="11"/>
  <c r="M69" i="11"/>
  <c r="J69" i="11" s="1"/>
  <c r="E24" i="11"/>
  <c r="O24" i="11"/>
  <c r="P24" i="11"/>
  <c r="I24" i="11"/>
  <c r="P66" i="11"/>
  <c r="P21" i="11"/>
  <c r="P20" i="11" s="1"/>
  <c r="E67" i="11"/>
  <c r="O67" i="11"/>
  <c r="O66" i="11" s="1"/>
  <c r="M68" i="11"/>
  <c r="M22" i="11" s="1"/>
  <c r="G67" i="11"/>
  <c r="F67" i="11" s="1"/>
  <c r="L66" i="11"/>
  <c r="M66" i="11"/>
  <c r="J68" i="11"/>
  <c r="F63" i="11"/>
  <c r="F65" i="11"/>
  <c r="L16" i="11"/>
  <c r="L61" i="11"/>
  <c r="N16" i="11"/>
  <c r="H63" i="11"/>
  <c r="H65" i="11"/>
  <c r="H19" i="11" s="1"/>
  <c r="E19" i="11"/>
  <c r="G16" i="11"/>
  <c r="F16" i="11" s="1"/>
  <c r="K61" i="11"/>
  <c r="G17" i="11"/>
  <c r="E16" i="11"/>
  <c r="M17" i="11"/>
  <c r="M12" i="11"/>
  <c r="M57" i="11"/>
  <c r="H14" i="11"/>
  <c r="F14" i="11" s="1"/>
  <c r="H57" i="11"/>
  <c r="P57" i="11"/>
  <c r="E57" i="11"/>
  <c r="O57" i="11"/>
  <c r="J60" i="11"/>
  <c r="N56" i="11"/>
  <c r="F58" i="11"/>
  <c r="I13" i="11"/>
  <c r="I11" i="11" s="1"/>
  <c r="G14" i="11"/>
  <c r="O12" i="11"/>
  <c r="L12" i="11"/>
  <c r="L11" i="11" s="1"/>
  <c r="J58" i="11"/>
  <c r="J52" i="11"/>
  <c r="D52" i="11" s="1"/>
  <c r="M52" i="11"/>
  <c r="N31" i="11"/>
  <c r="J31" i="11"/>
  <c r="N52" i="11"/>
  <c r="D54" i="11"/>
  <c r="O52" i="11"/>
  <c r="P31" i="11"/>
  <c r="M30" i="11"/>
  <c r="M29" i="11" s="1"/>
  <c r="D53" i="11"/>
  <c r="O27" i="11"/>
  <c r="D50" i="11"/>
  <c r="I27" i="11"/>
  <c r="I49" i="11"/>
  <c r="I33" i="11" s="1"/>
  <c r="E27" i="11"/>
  <c r="E26" i="11" s="1"/>
  <c r="D48" i="11"/>
  <c r="J46" i="11"/>
  <c r="D47" i="11"/>
  <c r="M24" i="11"/>
  <c r="M23" i="11" s="1"/>
  <c r="F46" i="11"/>
  <c r="D46" i="11" s="1"/>
  <c r="E33" i="11"/>
  <c r="J22" i="11"/>
  <c r="D44" i="11"/>
  <c r="D45" i="11"/>
  <c r="K38" i="11"/>
  <c r="J38" i="11" s="1"/>
  <c r="D38" i="11" s="1"/>
  <c r="D41" i="11"/>
  <c r="M38" i="11"/>
  <c r="M33" i="11"/>
  <c r="O33" i="11"/>
  <c r="D39" i="11"/>
  <c r="D40" i="11"/>
  <c r="H38" i="11"/>
  <c r="F38" i="11" s="1"/>
  <c r="J34" i="11"/>
  <c r="K33" i="11"/>
  <c r="K14" i="11"/>
  <c r="J37" i="11"/>
  <c r="D37" i="11" s="1"/>
  <c r="D35" i="11"/>
  <c r="P11" i="11"/>
  <c r="G11" i="11"/>
  <c r="D36" i="11"/>
  <c r="J106" i="7"/>
  <c r="M106" i="7"/>
  <c r="M21" i="7"/>
  <c r="D121" i="7"/>
  <c r="M12" i="7"/>
  <c r="L13" i="7"/>
  <c r="N25" i="7"/>
  <c r="O28" i="7"/>
  <c r="K113" i="7"/>
  <c r="K111" i="7" s="1"/>
  <c r="J126" i="7"/>
  <c r="D126" i="7" s="1"/>
  <c r="N14" i="7"/>
  <c r="N19" i="7"/>
  <c r="N111" i="7"/>
  <c r="J127" i="7"/>
  <c r="J98" i="7"/>
  <c r="O101" i="7"/>
  <c r="J122" i="7"/>
  <c r="D122" i="7" s="1"/>
  <c r="P13" i="7"/>
  <c r="O17" i="7"/>
  <c r="M98" i="7"/>
  <c r="D129" i="7"/>
  <c r="D133" i="7"/>
  <c r="L110" i="7"/>
  <c r="L25" i="7" s="1"/>
  <c r="N108" i="7"/>
  <c r="O114" i="7"/>
  <c r="D124" i="7"/>
  <c r="O97" i="7"/>
  <c r="J105" i="7"/>
  <c r="P114" i="7"/>
  <c r="D130" i="7"/>
  <c r="P102" i="7"/>
  <c r="P101" i="7" s="1"/>
  <c r="P96" i="7" s="1"/>
  <c r="P134" i="7" s="1"/>
  <c r="P238" i="5" s="1"/>
  <c r="P200" i="5" s="1"/>
  <c r="M97" i="7"/>
  <c r="D125" i="7"/>
  <c r="N114" i="7"/>
  <c r="H101" i="7"/>
  <c r="I97" i="7"/>
  <c r="F123" i="7"/>
  <c r="D123" i="7" s="1"/>
  <c r="H16" i="7"/>
  <c r="G114" i="7"/>
  <c r="D119" i="7"/>
  <c r="F131" i="7"/>
  <c r="I99" i="7"/>
  <c r="D127" i="7"/>
  <c r="D131" i="7"/>
  <c r="I12" i="7"/>
  <c r="I114" i="7"/>
  <c r="G13" i="7"/>
  <c r="I28" i="7"/>
  <c r="G107" i="7"/>
  <c r="F107" i="7" s="1"/>
  <c r="D120" i="7"/>
  <c r="D128" i="7"/>
  <c r="I13" i="7"/>
  <c r="I111" i="7"/>
  <c r="F111" i="7" s="1"/>
  <c r="F98" i="7"/>
  <c r="I101" i="7"/>
  <c r="I96" i="7" s="1"/>
  <c r="F110" i="7"/>
  <c r="H111" i="7"/>
  <c r="E21" i="7"/>
  <c r="E20" i="7" s="1"/>
  <c r="E106" i="7"/>
  <c r="E96" i="7" s="1"/>
  <c r="E108" i="7"/>
  <c r="E14" i="7"/>
  <c r="E25" i="7"/>
  <c r="E97" i="7"/>
  <c r="E101" i="7"/>
  <c r="E111" i="7"/>
  <c r="H114" i="7"/>
  <c r="F117" i="7"/>
  <c r="G30" i="7"/>
  <c r="M115" i="7"/>
  <c r="M114" i="7" s="1"/>
  <c r="M96" i="7" s="1"/>
  <c r="K116" i="7"/>
  <c r="H117" i="7"/>
  <c r="L30" i="7"/>
  <c r="M32" i="7"/>
  <c r="J32" i="7" s="1"/>
  <c r="J117" i="7"/>
  <c r="H31" i="7"/>
  <c r="F31" i="7" s="1"/>
  <c r="E32" i="7"/>
  <c r="E29" i="7" s="1"/>
  <c r="O32" i="7"/>
  <c r="F115" i="7"/>
  <c r="G32" i="7"/>
  <c r="K114" i="7"/>
  <c r="J114" i="7" s="1"/>
  <c r="L31" i="7"/>
  <c r="H32" i="7"/>
  <c r="F116" i="7"/>
  <c r="J111" i="7"/>
  <c r="F113" i="7"/>
  <c r="J112" i="7"/>
  <c r="J113" i="7"/>
  <c r="K108" i="7"/>
  <c r="P108" i="7"/>
  <c r="P24" i="7"/>
  <c r="E24" i="7"/>
  <c r="E23" i="7" s="1"/>
  <c r="G109" i="7"/>
  <c r="G24" i="7" s="1"/>
  <c r="F24" i="7" s="1"/>
  <c r="O109" i="7"/>
  <c r="O108" i="7" s="1"/>
  <c r="K110" i="7"/>
  <c r="D108" i="7"/>
  <c r="H109" i="7"/>
  <c r="H108" i="7" s="1"/>
  <c r="P21" i="7"/>
  <c r="P20" i="7" s="1"/>
  <c r="N21" i="7"/>
  <c r="N20" i="7" s="1"/>
  <c r="D96" i="7"/>
  <c r="G106" i="7"/>
  <c r="F106" i="7" s="1"/>
  <c r="J107" i="7"/>
  <c r="K21" i="7"/>
  <c r="K20" i="7" s="1"/>
  <c r="P16" i="7"/>
  <c r="P15" i="7" s="1"/>
  <c r="N101" i="7"/>
  <c r="N96" i="7" s="1"/>
  <c r="N134" i="7" s="1"/>
  <c r="N238" i="5" s="1"/>
  <c r="N200" i="5" s="1"/>
  <c r="N17" i="7"/>
  <c r="O16" i="7"/>
  <c r="J104" i="7"/>
  <c r="L17" i="7"/>
  <c r="L18" i="7"/>
  <c r="G102" i="7"/>
  <c r="K101" i="7"/>
  <c r="I18" i="7"/>
  <c r="N18" i="7"/>
  <c r="P19" i="7"/>
  <c r="F103" i="7"/>
  <c r="E16" i="7"/>
  <c r="J102" i="7"/>
  <c r="H19" i="7"/>
  <c r="F19" i="7" s="1"/>
  <c r="F104" i="7"/>
  <c r="J103" i="7"/>
  <c r="K19" i="7"/>
  <c r="J19" i="7" s="1"/>
  <c r="F105" i="7"/>
  <c r="F100" i="7"/>
  <c r="H97" i="7"/>
  <c r="H96" i="7" s="1"/>
  <c r="H134" i="7" s="1"/>
  <c r="H238" i="5" s="1"/>
  <c r="H200" i="5" s="1"/>
  <c r="J100" i="7"/>
  <c r="O14" i="7"/>
  <c r="L97" i="7"/>
  <c r="L12" i="7"/>
  <c r="L11" i="7" s="1"/>
  <c r="N13" i="7"/>
  <c r="F99" i="7"/>
  <c r="N24" i="7"/>
  <c r="N23" i="7" s="1"/>
  <c r="N69" i="7"/>
  <c r="N75" i="7"/>
  <c r="N30" i="7"/>
  <c r="N29" i="7" s="1"/>
  <c r="O25" i="7"/>
  <c r="O69" i="7"/>
  <c r="K66" i="7"/>
  <c r="N66" i="7"/>
  <c r="D82" i="7"/>
  <c r="N61" i="7"/>
  <c r="M64" i="7"/>
  <c r="M18" i="7" s="1"/>
  <c r="P66" i="7"/>
  <c r="J76" i="7"/>
  <c r="J88" i="7"/>
  <c r="J93" i="7"/>
  <c r="P71" i="7"/>
  <c r="P25" i="7" s="1"/>
  <c r="P23" i="7" s="1"/>
  <c r="D93" i="7"/>
  <c r="M20" i="7"/>
  <c r="M70" i="7"/>
  <c r="M69" i="7" s="1"/>
  <c r="D84" i="7"/>
  <c r="D89" i="7"/>
  <c r="D94" i="7"/>
  <c r="O31" i="7"/>
  <c r="O29" i="7" s="1"/>
  <c r="D85" i="7"/>
  <c r="P27" i="7"/>
  <c r="P26" i="7" s="1"/>
  <c r="K58" i="7"/>
  <c r="K12" i="7" s="1"/>
  <c r="K11" i="7" s="1"/>
  <c r="J77" i="7"/>
  <c r="K63" i="7"/>
  <c r="L72" i="7"/>
  <c r="D95" i="7"/>
  <c r="M59" i="7"/>
  <c r="J59" i="7" s="1"/>
  <c r="L66" i="7"/>
  <c r="J66" i="7" s="1"/>
  <c r="P69" i="7"/>
  <c r="J78" i="7"/>
  <c r="D86" i="7"/>
  <c r="O65" i="7"/>
  <c r="O19" i="7" s="1"/>
  <c r="P29" i="7"/>
  <c r="M66" i="7"/>
  <c r="N72" i="7"/>
  <c r="P75" i="7"/>
  <c r="D92" i="7"/>
  <c r="F58" i="7"/>
  <c r="G12" i="7"/>
  <c r="G11" i="7" s="1"/>
  <c r="F73" i="7"/>
  <c r="G27" i="7"/>
  <c r="G72" i="7"/>
  <c r="F72" i="7" s="1"/>
  <c r="I75" i="7"/>
  <c r="I30" i="7"/>
  <c r="I29" i="7" s="1"/>
  <c r="I71" i="7"/>
  <c r="I69" i="7" s="1"/>
  <c r="F80" i="7"/>
  <c r="D80" i="7" s="1"/>
  <c r="G68" i="7"/>
  <c r="G22" i="7" s="1"/>
  <c r="H21" i="7"/>
  <c r="H20" i="7" s="1"/>
  <c r="G26" i="7"/>
  <c r="I61" i="7"/>
  <c r="G69" i="7"/>
  <c r="F91" i="7"/>
  <c r="D91" i="7" s="1"/>
  <c r="H64" i="7"/>
  <c r="G61" i="7"/>
  <c r="I60" i="7"/>
  <c r="I14" i="7" s="1"/>
  <c r="F14" i="7" s="1"/>
  <c r="D88" i="7"/>
  <c r="E69" i="7"/>
  <c r="K30" i="7"/>
  <c r="O75" i="7"/>
  <c r="E75" i="7"/>
  <c r="K75" i="7"/>
  <c r="J75" i="7" s="1"/>
  <c r="F77" i="7"/>
  <c r="O72" i="7"/>
  <c r="O27" i="7"/>
  <c r="L28" i="7"/>
  <c r="M27" i="7"/>
  <c r="M26" i="7" s="1"/>
  <c r="E73" i="7"/>
  <c r="M28" i="7"/>
  <c r="N27" i="7"/>
  <c r="N26" i="7" s="1"/>
  <c r="L27" i="7"/>
  <c r="J74" i="7"/>
  <c r="K28" i="7"/>
  <c r="H69" i="7"/>
  <c r="F69" i="7" s="1"/>
  <c r="F71" i="7"/>
  <c r="L69" i="7"/>
  <c r="L24" i="7"/>
  <c r="L23" i="7" s="1"/>
  <c r="H71" i="7"/>
  <c r="H25" i="7" s="1"/>
  <c r="H24" i="7"/>
  <c r="H23" i="7" s="1"/>
  <c r="O24" i="7"/>
  <c r="K24" i="7"/>
  <c r="K69" i="7"/>
  <c r="J69" i="7" s="1"/>
  <c r="G25" i="7"/>
  <c r="M24" i="7"/>
  <c r="M25" i="7"/>
  <c r="M23" i="7" s="1"/>
  <c r="L21" i="7"/>
  <c r="L20" i="7" s="1"/>
  <c r="J22" i="7"/>
  <c r="J68" i="7"/>
  <c r="I21" i="7"/>
  <c r="I20" i="7" s="1"/>
  <c r="O21" i="7"/>
  <c r="O20" i="7" s="1"/>
  <c r="F22" i="7"/>
  <c r="F68" i="7"/>
  <c r="J67" i="7"/>
  <c r="M16" i="7"/>
  <c r="K61" i="7"/>
  <c r="K17" i="7"/>
  <c r="F64" i="7"/>
  <c r="H61" i="7"/>
  <c r="H18" i="7"/>
  <c r="O61" i="7"/>
  <c r="N16" i="7"/>
  <c r="N15" i="7" s="1"/>
  <c r="E65" i="7"/>
  <c r="J63" i="7"/>
  <c r="P61" i="7"/>
  <c r="J64" i="7"/>
  <c r="F62" i="7"/>
  <c r="J65" i="7"/>
  <c r="J62" i="7"/>
  <c r="L16" i="7"/>
  <c r="L15" i="7" s="1"/>
  <c r="F63" i="7"/>
  <c r="M17" i="7"/>
  <c r="O18" i="7"/>
  <c r="N57" i="7"/>
  <c r="N56" i="7" s="1"/>
  <c r="P14" i="7"/>
  <c r="K14" i="7"/>
  <c r="J14" i="7" s="1"/>
  <c r="G57" i="7"/>
  <c r="L57" i="7"/>
  <c r="O57" i="7"/>
  <c r="O12" i="7"/>
  <c r="E58" i="7"/>
  <c r="N12" i="7"/>
  <c r="N11" i="7" s="1"/>
  <c r="O13" i="7"/>
  <c r="D56" i="7"/>
  <c r="M52" i="7"/>
  <c r="M33" i="7" s="1"/>
  <c r="O52" i="7"/>
  <c r="J52" i="7"/>
  <c r="D54" i="7"/>
  <c r="D53" i="7"/>
  <c r="H52" i="7"/>
  <c r="F52" i="7" s="1"/>
  <c r="L49" i="7"/>
  <c r="J49" i="7" s="1"/>
  <c r="K27" i="7"/>
  <c r="J51" i="7"/>
  <c r="D51" i="7" s="1"/>
  <c r="D50" i="7"/>
  <c r="H27" i="7"/>
  <c r="H26" i="7" s="1"/>
  <c r="F28" i="7"/>
  <c r="H49" i="7"/>
  <c r="F49" i="7" s="1"/>
  <c r="O46" i="7"/>
  <c r="P33" i="7"/>
  <c r="D47" i="7"/>
  <c r="D48" i="7"/>
  <c r="G46" i="7"/>
  <c r="F46" i="7" s="1"/>
  <c r="O43" i="7"/>
  <c r="D22" i="7"/>
  <c r="I33" i="7"/>
  <c r="D45" i="7"/>
  <c r="K16" i="7"/>
  <c r="D41" i="7"/>
  <c r="M38" i="7"/>
  <c r="J38" i="7" s="1"/>
  <c r="O38" i="7"/>
  <c r="K33" i="7"/>
  <c r="D39" i="7"/>
  <c r="D40" i="7"/>
  <c r="H17" i="7"/>
  <c r="I17" i="7"/>
  <c r="H38" i="7"/>
  <c r="E33" i="7"/>
  <c r="M34" i="7"/>
  <c r="O34" i="7"/>
  <c r="O33" i="7" s="1"/>
  <c r="D36" i="7"/>
  <c r="D35" i="7"/>
  <c r="D37" i="7"/>
  <c r="H12" i="7"/>
  <c r="H34" i="7"/>
  <c r="J122" i="5"/>
  <c r="K127" i="5"/>
  <c r="J127" i="5" s="1"/>
  <c r="K131" i="5"/>
  <c r="J131" i="5" s="1"/>
  <c r="J132" i="5"/>
  <c r="D171" i="5"/>
  <c r="D176" i="5"/>
  <c r="D180" i="5"/>
  <c r="J128" i="5"/>
  <c r="M132" i="5"/>
  <c r="J171" i="5"/>
  <c r="O134" i="5"/>
  <c r="D181" i="5"/>
  <c r="J120" i="5"/>
  <c r="K123" i="5"/>
  <c r="J123" i="5" s="1"/>
  <c r="J124" i="5"/>
  <c r="N134" i="5"/>
  <c r="D182" i="5"/>
  <c r="J130" i="5"/>
  <c r="P134" i="5"/>
  <c r="D174" i="5"/>
  <c r="F124" i="5"/>
  <c r="H134" i="5"/>
  <c r="F134" i="5" s="1"/>
  <c r="G119" i="5"/>
  <c r="F119" i="5" s="1"/>
  <c r="I121" i="5"/>
  <c r="F121" i="5" s="1"/>
  <c r="H124" i="5"/>
  <c r="F137" i="5"/>
  <c r="F178" i="5"/>
  <c r="F129" i="5"/>
  <c r="F138" i="5"/>
  <c r="H132" i="5"/>
  <c r="F132" i="5" s="1"/>
  <c r="F133" i="5"/>
  <c r="F123" i="5"/>
  <c r="D185" i="5"/>
  <c r="D178" i="5"/>
  <c r="D175" i="5"/>
  <c r="D179" i="5"/>
  <c r="D183" i="5"/>
  <c r="D168" i="5"/>
  <c r="J117" i="5"/>
  <c r="D167" i="5"/>
  <c r="J116" i="5"/>
  <c r="L115" i="5"/>
  <c r="H115" i="5"/>
  <c r="F115" i="5" s="1"/>
  <c r="D164" i="5"/>
  <c r="K112" i="5"/>
  <c r="O111" i="5"/>
  <c r="D163" i="5"/>
  <c r="D165" i="5"/>
  <c r="K106" i="5"/>
  <c r="L106" i="5"/>
  <c r="J108" i="5"/>
  <c r="O106" i="5"/>
  <c r="P106" i="5"/>
  <c r="H106" i="5"/>
  <c r="F159" i="5"/>
  <c r="D159" i="5" s="1"/>
  <c r="J153" i="5"/>
  <c r="D153" i="5" s="1"/>
  <c r="J104" i="5"/>
  <c r="J154" i="5"/>
  <c r="D154" i="5" s="1"/>
  <c r="D155" i="5"/>
  <c r="J102" i="5"/>
  <c r="D151" i="5"/>
  <c r="F100" i="5"/>
  <c r="F103" i="5"/>
  <c r="F99" i="5"/>
  <c r="D152" i="5"/>
  <c r="D156" i="5"/>
  <c r="I99" i="5"/>
  <c r="F104" i="5"/>
  <c r="P98" i="5"/>
  <c r="P97" i="5" s="1"/>
  <c r="J97" i="5"/>
  <c r="J98" i="5"/>
  <c r="D149" i="5"/>
  <c r="O95" i="5"/>
  <c r="O94" i="5" s="1"/>
  <c r="J94" i="5"/>
  <c r="J96" i="5"/>
  <c r="D147" i="5"/>
  <c r="P94" i="5"/>
  <c r="D146" i="5"/>
  <c r="M91" i="5"/>
  <c r="J93" i="5"/>
  <c r="O91" i="5"/>
  <c r="O13" i="5" s="1"/>
  <c r="P91" i="5"/>
  <c r="P13" i="5" s="1"/>
  <c r="G91" i="5"/>
  <c r="E91" i="5"/>
  <c r="J137" i="5"/>
  <c r="L28" i="5"/>
  <c r="D134" i="5"/>
  <c r="L135" i="5"/>
  <c r="F136" i="5"/>
  <c r="L139" i="5"/>
  <c r="F140" i="5"/>
  <c r="F135" i="5"/>
  <c r="F139" i="5"/>
  <c r="K135" i="5"/>
  <c r="K134" i="5" s="1"/>
  <c r="J138" i="5"/>
  <c r="M135" i="5"/>
  <c r="M139" i="5"/>
  <c r="E135" i="5"/>
  <c r="J136" i="5"/>
  <c r="E139" i="5"/>
  <c r="J140" i="5"/>
  <c r="D118" i="5"/>
  <c r="L126" i="5"/>
  <c r="E126" i="5"/>
  <c r="E118" i="5" s="1"/>
  <c r="M126" i="5"/>
  <c r="M118" i="5" s="1"/>
  <c r="N126" i="5"/>
  <c r="N118" i="5" s="1"/>
  <c r="N90" i="5" s="1"/>
  <c r="N26" i="5" s="1"/>
  <c r="G126" i="5"/>
  <c r="O126" i="5"/>
  <c r="O118" i="5" s="1"/>
  <c r="H126" i="5"/>
  <c r="H118" i="5" s="1"/>
  <c r="P126" i="5"/>
  <c r="P118" i="5" s="1"/>
  <c r="F116" i="5"/>
  <c r="F117" i="5"/>
  <c r="E111" i="5"/>
  <c r="J112" i="5"/>
  <c r="K111" i="5"/>
  <c r="I112" i="5"/>
  <c r="I111" i="5" s="1"/>
  <c r="G113" i="5"/>
  <c r="P113" i="5"/>
  <c r="P111" i="5" s="1"/>
  <c r="N114" i="5"/>
  <c r="N111" i="5" s="1"/>
  <c r="E114" i="5"/>
  <c r="J113" i="5"/>
  <c r="H111" i="5"/>
  <c r="M111" i="5"/>
  <c r="J114" i="5"/>
  <c r="F112" i="5"/>
  <c r="M109" i="5"/>
  <c r="J109" i="5" s="1"/>
  <c r="F110" i="5"/>
  <c r="F108" i="5"/>
  <c r="F109" i="5"/>
  <c r="L99" i="5"/>
  <c r="J99" i="5" s="1"/>
  <c r="G98" i="5"/>
  <c r="G97" i="5" s="1"/>
  <c r="F97" i="5" s="1"/>
  <c r="N95" i="5"/>
  <c r="N94" i="5" s="1"/>
  <c r="E95" i="5"/>
  <c r="E94" i="5" s="1"/>
  <c r="F95" i="5"/>
  <c r="H94" i="5"/>
  <c r="F94" i="5" s="1"/>
  <c r="F96" i="5"/>
  <c r="J95" i="5"/>
  <c r="H91" i="5"/>
  <c r="K14" i="5"/>
  <c r="K91" i="5"/>
  <c r="K13" i="5" s="1"/>
  <c r="I14" i="5"/>
  <c r="F93" i="5"/>
  <c r="H14" i="5"/>
  <c r="L14" i="5"/>
  <c r="J92" i="5"/>
  <c r="L13" i="5"/>
  <c r="K82" i="5"/>
  <c r="J82" i="5" s="1"/>
  <c r="D86" i="5"/>
  <c r="D87" i="5"/>
  <c r="D83" i="5"/>
  <c r="H82" i="5"/>
  <c r="F82" i="5" s="1"/>
  <c r="D82" i="5" s="1"/>
  <c r="D84" i="5"/>
  <c r="E82" i="5"/>
  <c r="D89" i="5"/>
  <c r="J67" i="5"/>
  <c r="D67" i="5" s="1"/>
  <c r="D72" i="5"/>
  <c r="D80" i="5"/>
  <c r="D75" i="5"/>
  <c r="D68" i="5"/>
  <c r="D71" i="5"/>
  <c r="D76" i="5"/>
  <c r="D79" i="5"/>
  <c r="H66" i="5"/>
  <c r="G66" i="5"/>
  <c r="F66" i="5" s="1"/>
  <c r="D66" i="5" s="1"/>
  <c r="I66" i="5"/>
  <c r="I29" i="5" s="1"/>
  <c r="I25" i="5" s="1"/>
  <c r="D74" i="5"/>
  <c r="D65" i="5"/>
  <c r="J63" i="5"/>
  <c r="N29" i="5"/>
  <c r="N25" i="5" s="1"/>
  <c r="F63" i="5"/>
  <c r="P28" i="5"/>
  <c r="J57" i="5"/>
  <c r="D60" i="5"/>
  <c r="D59" i="5"/>
  <c r="H57" i="5"/>
  <c r="F57" i="5"/>
  <c r="J53" i="5"/>
  <c r="E30" i="9" s="1"/>
  <c r="E29" i="9" s="1"/>
  <c r="J54" i="5"/>
  <c r="F54" i="5"/>
  <c r="D54" i="5" s="1"/>
  <c r="D52" i="5"/>
  <c r="D20" i="5" s="1"/>
  <c r="D51" i="5"/>
  <c r="K45" i="5"/>
  <c r="K29" i="5" s="1"/>
  <c r="D49" i="5"/>
  <c r="D18" i="5" s="1"/>
  <c r="D48" i="5"/>
  <c r="M45" i="5"/>
  <c r="M29" i="5" s="1"/>
  <c r="M25" i="5" s="1"/>
  <c r="H45" i="5"/>
  <c r="F45" i="5" s="1"/>
  <c r="F46" i="5"/>
  <c r="D46" i="5" s="1"/>
  <c r="D17" i="5" s="1"/>
  <c r="J43" i="5"/>
  <c r="D44" i="5"/>
  <c r="F43" i="5"/>
  <c r="D42" i="5"/>
  <c r="L29" i="5"/>
  <c r="L25" i="5" s="1"/>
  <c r="F40" i="5"/>
  <c r="D40" i="5" s="1"/>
  <c r="D38" i="5"/>
  <c r="J37" i="5"/>
  <c r="J15" i="5" s="1"/>
  <c r="F37" i="5"/>
  <c r="F15" i="5" s="1"/>
  <c r="E29" i="5"/>
  <c r="E25" i="5" s="1"/>
  <c r="D35" i="5"/>
  <c r="D14" i="5" s="1"/>
  <c r="P29" i="5"/>
  <c r="P25" i="5" s="1"/>
  <c r="J14" i="5"/>
  <c r="F34" i="5"/>
  <c r="D34" i="5"/>
  <c r="D13" i="5" s="1"/>
  <c r="G34" i="5"/>
  <c r="G13" i="5" s="1"/>
  <c r="O29" i="5"/>
  <c r="O25" i="5" s="1"/>
  <c r="O12" i="5"/>
  <c r="O28" i="5"/>
  <c r="N28" i="5"/>
  <c r="D31" i="5"/>
  <c r="D12" i="5" s="1"/>
  <c r="K28" i="5"/>
  <c r="G28" i="5"/>
  <c r="G12" i="5"/>
  <c r="H28" i="5"/>
  <c r="I28" i="5"/>
  <c r="H12" i="5"/>
  <c r="D30" i="5"/>
  <c r="D11" i="5" s="1"/>
  <c r="D63" i="5"/>
  <c r="D43" i="5"/>
  <c r="H75" i="7"/>
  <c r="F75" i="7" s="1"/>
  <c r="H30" i="7"/>
  <c r="K115" i="5"/>
  <c r="F106" i="5"/>
  <c r="J107" i="5"/>
  <c r="E27" i="9"/>
  <c r="J45" i="5"/>
  <c r="F92" i="5"/>
  <c r="F14" i="5" s="1"/>
  <c r="F107" i="5"/>
  <c r="F11" i="5"/>
  <c r="E28" i="5"/>
  <c r="M28" i="5"/>
  <c r="D186" i="5"/>
  <c r="E13" i="5"/>
  <c r="I13" i="5"/>
  <c r="M13" i="5"/>
  <c r="G15" i="5"/>
  <c r="K15" i="5"/>
  <c r="D170" i="5"/>
  <c r="F13" i="7"/>
  <c r="F67" i="7"/>
  <c r="G66" i="7"/>
  <c r="F66" i="7" s="1"/>
  <c r="G21" i="7"/>
  <c r="I72" i="7"/>
  <c r="I26" i="7"/>
  <c r="L33" i="7"/>
  <c r="J34" i="7"/>
  <c r="J72" i="7"/>
  <c r="F34" i="7"/>
  <c r="J43" i="7"/>
  <c r="F59" i="7"/>
  <c r="F74" i="7"/>
  <c r="E25" i="10"/>
  <c r="E61" i="10" s="1"/>
  <c r="E27" i="10"/>
  <c r="N33" i="7"/>
  <c r="F43" i="7"/>
  <c r="J58" i="7"/>
  <c r="J60" i="7"/>
  <c r="L61" i="7"/>
  <c r="F65" i="7"/>
  <c r="J73" i="7"/>
  <c r="F76" i="7"/>
  <c r="F78" i="7"/>
  <c r="D83" i="7"/>
  <c r="J66" i="11"/>
  <c r="J74" i="11"/>
  <c r="K28" i="11"/>
  <c r="J108" i="11"/>
  <c r="J110" i="11"/>
  <c r="J112" i="11"/>
  <c r="F115" i="11"/>
  <c r="G30" i="11"/>
  <c r="F117" i="11"/>
  <c r="G32" i="11"/>
  <c r="D131" i="11"/>
  <c r="L15" i="11"/>
  <c r="N33" i="11"/>
  <c r="E11" i="9"/>
  <c r="E10" i="9" s="1"/>
  <c r="E63" i="10"/>
  <c r="H20" i="11"/>
  <c r="G33" i="11"/>
  <c r="J43" i="11"/>
  <c r="K57" i="11"/>
  <c r="J67" i="11"/>
  <c r="J73" i="11"/>
  <c r="F102" i="11"/>
  <c r="I108" i="11"/>
  <c r="J109" i="11"/>
  <c r="J113" i="11"/>
  <c r="G114" i="11"/>
  <c r="D123" i="11"/>
  <c r="E52" i="8"/>
  <c r="E59" i="10"/>
  <c r="D34" i="11"/>
  <c r="L33" i="11"/>
  <c r="P33" i="11"/>
  <c r="F43" i="11"/>
  <c r="J49" i="11"/>
  <c r="G57" i="11"/>
  <c r="F59" i="11"/>
  <c r="J103" i="11"/>
  <c r="E108" i="11"/>
  <c r="F109" i="11"/>
  <c r="L111" i="11"/>
  <c r="P111" i="11"/>
  <c r="P96" i="11" s="1"/>
  <c r="F113" i="11"/>
  <c r="J115" i="11"/>
  <c r="K30" i="11"/>
  <c r="J117" i="11"/>
  <c r="D127" i="11"/>
  <c r="E27" i="8" l="1"/>
  <c r="E41" i="8" s="1"/>
  <c r="J20" i="11"/>
  <c r="L96" i="11"/>
  <c r="M101" i="11"/>
  <c r="M96" i="11" s="1"/>
  <c r="M134" i="11" s="1"/>
  <c r="J102" i="11"/>
  <c r="J28" i="11"/>
  <c r="N15" i="11"/>
  <c r="L29" i="11"/>
  <c r="M19" i="11"/>
  <c r="M15" i="11" s="1"/>
  <c r="J21" i="11"/>
  <c r="N29" i="11"/>
  <c r="K101" i="11"/>
  <c r="K96" i="11" s="1"/>
  <c r="K134" i="11" s="1"/>
  <c r="O11" i="11"/>
  <c r="J98" i="11"/>
  <c r="F25" i="11"/>
  <c r="H13" i="11"/>
  <c r="F106" i="11"/>
  <c r="H97" i="11"/>
  <c r="H96" i="11" s="1"/>
  <c r="H134" i="11" s="1"/>
  <c r="G19" i="11"/>
  <c r="H30" i="11"/>
  <c r="H29" i="11" s="1"/>
  <c r="I26" i="11"/>
  <c r="E15" i="11"/>
  <c r="F31" i="11"/>
  <c r="I96" i="11"/>
  <c r="I134" i="11" s="1"/>
  <c r="F112" i="11"/>
  <c r="G111" i="11"/>
  <c r="F111" i="11" s="1"/>
  <c r="M26" i="11"/>
  <c r="L23" i="11"/>
  <c r="L10" i="11" s="1"/>
  <c r="D16" i="6" s="1"/>
  <c r="O23" i="11"/>
  <c r="J106" i="11"/>
  <c r="N134" i="11"/>
  <c r="O134" i="11"/>
  <c r="P134" i="11"/>
  <c r="L134" i="11"/>
  <c r="F19" i="11"/>
  <c r="H17" i="11"/>
  <c r="F17" i="11" s="1"/>
  <c r="J17" i="11"/>
  <c r="E101" i="11"/>
  <c r="F104" i="11"/>
  <c r="G18" i="11"/>
  <c r="G101" i="11"/>
  <c r="F101" i="11" s="1"/>
  <c r="G15" i="11"/>
  <c r="F103" i="11"/>
  <c r="K16" i="11"/>
  <c r="K15" i="11" s="1"/>
  <c r="E11" i="11"/>
  <c r="M11" i="11"/>
  <c r="E97" i="11"/>
  <c r="E96" i="11" s="1"/>
  <c r="E134" i="11" s="1"/>
  <c r="F97" i="11"/>
  <c r="K11" i="11"/>
  <c r="J11" i="11" s="1"/>
  <c r="J13" i="11"/>
  <c r="O21" i="11"/>
  <c r="O20" i="11" s="1"/>
  <c r="P61" i="11"/>
  <c r="P56" i="11" s="1"/>
  <c r="K32" i="11"/>
  <c r="J32" i="11" s="1"/>
  <c r="J59" i="11"/>
  <c r="J75" i="11"/>
  <c r="G28" i="11"/>
  <c r="I57" i="11"/>
  <c r="I56" i="11" s="1"/>
  <c r="F60" i="11"/>
  <c r="F69" i="11"/>
  <c r="F68" i="11"/>
  <c r="G22" i="11"/>
  <c r="F22" i="11" s="1"/>
  <c r="D22" i="11"/>
  <c r="H18" i="11"/>
  <c r="F64" i="11"/>
  <c r="P29" i="11"/>
  <c r="P10" i="11" s="1"/>
  <c r="D33" i="6" s="1"/>
  <c r="F32" i="11"/>
  <c r="D31" i="11"/>
  <c r="F73" i="11"/>
  <c r="H27" i="11"/>
  <c r="H26" i="11" s="1"/>
  <c r="O28" i="11"/>
  <c r="O26" i="11" s="1"/>
  <c r="O72" i="11"/>
  <c r="O56" i="11" s="1"/>
  <c r="I23" i="11"/>
  <c r="I10" i="11" s="1"/>
  <c r="F24" i="11"/>
  <c r="G23" i="11"/>
  <c r="L56" i="11"/>
  <c r="E66" i="11"/>
  <c r="E56" i="11" s="1"/>
  <c r="E21" i="11"/>
  <c r="E20" i="11" s="1"/>
  <c r="E10" i="11" s="1"/>
  <c r="D19" i="6" s="1"/>
  <c r="G66" i="11"/>
  <c r="F66" i="11" s="1"/>
  <c r="G21" i="11"/>
  <c r="M56" i="11"/>
  <c r="H61" i="11"/>
  <c r="F61" i="11" s="1"/>
  <c r="N10" i="11"/>
  <c r="D18" i="6" s="1"/>
  <c r="H56" i="11"/>
  <c r="J61" i="11"/>
  <c r="F13" i="11"/>
  <c r="J12" i="11"/>
  <c r="D12" i="11" s="1"/>
  <c r="H11" i="11"/>
  <c r="F11" i="11" s="1"/>
  <c r="K26" i="11"/>
  <c r="J26" i="11" s="1"/>
  <c r="F49" i="11"/>
  <c r="F33" i="11" s="1"/>
  <c r="D49" i="11"/>
  <c r="D25" i="11"/>
  <c r="J24" i="11"/>
  <c r="H33" i="11"/>
  <c r="J14" i="11"/>
  <c r="D14" i="11" s="1"/>
  <c r="J33" i="11"/>
  <c r="O11" i="7"/>
  <c r="O26" i="7"/>
  <c r="L96" i="7"/>
  <c r="L29" i="7"/>
  <c r="M30" i="7"/>
  <c r="M29" i="7" s="1"/>
  <c r="M15" i="7"/>
  <c r="J18" i="7"/>
  <c r="J115" i="7"/>
  <c r="P11" i="7"/>
  <c r="L108" i="7"/>
  <c r="J108" i="7" s="1"/>
  <c r="O96" i="7"/>
  <c r="O134" i="7" s="1"/>
  <c r="O238" i="5" s="1"/>
  <c r="O200" i="5" s="1"/>
  <c r="F114" i="7"/>
  <c r="G29" i="7"/>
  <c r="F97" i="7"/>
  <c r="I15" i="7"/>
  <c r="I11" i="7"/>
  <c r="F32" i="7"/>
  <c r="D32" i="7" s="1"/>
  <c r="J116" i="7"/>
  <c r="K31" i="7"/>
  <c r="J31" i="7" s="1"/>
  <c r="D31" i="7" s="1"/>
  <c r="E134" i="7"/>
  <c r="E238" i="5" s="1"/>
  <c r="E200" i="5" s="1"/>
  <c r="M134" i="7"/>
  <c r="M238" i="5" s="1"/>
  <c r="M200" i="5" s="1"/>
  <c r="K25" i="7"/>
  <c r="J25" i="7" s="1"/>
  <c r="J110" i="7"/>
  <c r="G108" i="7"/>
  <c r="F108" i="7" s="1"/>
  <c r="F109" i="7"/>
  <c r="I134" i="7"/>
  <c r="I238" i="5" s="1"/>
  <c r="I200" i="5" s="1"/>
  <c r="L134" i="7"/>
  <c r="L238" i="5" s="1"/>
  <c r="L200" i="5" s="1"/>
  <c r="F18" i="7"/>
  <c r="D18" i="7" s="1"/>
  <c r="J101" i="7"/>
  <c r="K96" i="7"/>
  <c r="K134" i="7" s="1"/>
  <c r="K238" i="5" s="1"/>
  <c r="K200" i="5" s="1"/>
  <c r="O15" i="7"/>
  <c r="F102" i="7"/>
  <c r="G101" i="7"/>
  <c r="G16" i="7"/>
  <c r="J17" i="7"/>
  <c r="J12" i="7"/>
  <c r="J97" i="7"/>
  <c r="F12" i="7"/>
  <c r="J21" i="7"/>
  <c r="M57" i="7"/>
  <c r="M56" i="7" s="1"/>
  <c r="K57" i="7"/>
  <c r="K56" i="7" s="1"/>
  <c r="O23" i="7"/>
  <c r="J16" i="7"/>
  <c r="M13" i="7"/>
  <c r="M61" i="7"/>
  <c r="J61" i="7" s="1"/>
  <c r="J56" i="7" s="1"/>
  <c r="J70" i="7"/>
  <c r="P56" i="7"/>
  <c r="I57" i="7"/>
  <c r="F57" i="7" s="1"/>
  <c r="F56" i="7" s="1"/>
  <c r="F60" i="7"/>
  <c r="F26" i="7"/>
  <c r="H11" i="7"/>
  <c r="F11" i="7" s="1"/>
  <c r="I25" i="7"/>
  <c r="H15" i="7"/>
  <c r="G23" i="7"/>
  <c r="F61" i="7"/>
  <c r="O56" i="7"/>
  <c r="E27" i="7"/>
  <c r="E26" i="7" s="1"/>
  <c r="E72" i="7"/>
  <c r="J28" i="7"/>
  <c r="D28" i="7"/>
  <c r="F27" i="7"/>
  <c r="L26" i="7"/>
  <c r="K26" i="7"/>
  <c r="J24" i="7"/>
  <c r="D24" i="7"/>
  <c r="G56" i="7"/>
  <c r="J20" i="7"/>
  <c r="E19" i="7"/>
  <c r="E61" i="7"/>
  <c r="K15" i="7"/>
  <c r="J15" i="7" s="1"/>
  <c r="N10" i="7"/>
  <c r="D41" i="6" s="1"/>
  <c r="P10" i="7"/>
  <c r="D56" i="6" s="1"/>
  <c r="H56" i="7"/>
  <c r="F17" i="7"/>
  <c r="D17" i="7" s="1"/>
  <c r="E12" i="7"/>
  <c r="E11" i="7" s="1"/>
  <c r="E57" i="7"/>
  <c r="J57" i="7"/>
  <c r="D52" i="7"/>
  <c r="D49" i="7"/>
  <c r="J27" i="7"/>
  <c r="H33" i="7"/>
  <c r="D46" i="7"/>
  <c r="G33" i="7"/>
  <c r="D43" i="7"/>
  <c r="F38" i="7"/>
  <c r="D38" i="7" s="1"/>
  <c r="D14" i="7"/>
  <c r="J139" i="5"/>
  <c r="J126" i="5"/>
  <c r="K118" i="5"/>
  <c r="K90" i="5" s="1"/>
  <c r="K26" i="5" s="1"/>
  <c r="I118" i="5"/>
  <c r="I90" i="5" s="1"/>
  <c r="I26" i="5" s="1"/>
  <c r="J115" i="5"/>
  <c r="M106" i="5"/>
  <c r="J106" i="5" s="1"/>
  <c r="O90" i="5"/>
  <c r="O26" i="5" s="1"/>
  <c r="E134" i="5"/>
  <c r="E90" i="5" s="1"/>
  <c r="E26" i="5" s="1"/>
  <c r="D90" i="5"/>
  <c r="J135" i="5"/>
  <c r="M134" i="5"/>
  <c r="L134" i="5"/>
  <c r="F126" i="5"/>
  <c r="L118" i="5"/>
  <c r="G118" i="5"/>
  <c r="F118" i="5" s="1"/>
  <c r="P90" i="5"/>
  <c r="P26" i="5" s="1"/>
  <c r="F113" i="5"/>
  <c r="G111" i="5"/>
  <c r="J111" i="5"/>
  <c r="H90" i="5"/>
  <c r="H26" i="5" s="1"/>
  <c r="H13" i="5"/>
  <c r="J91" i="5"/>
  <c r="J13" i="5" s="1"/>
  <c r="F91" i="5"/>
  <c r="F13" i="5" s="1"/>
  <c r="E57" i="8" s="1"/>
  <c r="E56" i="8" s="1"/>
  <c r="D22" i="5"/>
  <c r="G29" i="5"/>
  <c r="G25" i="5" s="1"/>
  <c r="D57" i="5"/>
  <c r="D53" i="5"/>
  <c r="D21" i="5" s="1"/>
  <c r="D45" i="5"/>
  <c r="D16" i="5" s="1"/>
  <c r="H29" i="5"/>
  <c r="H25" i="5" s="1"/>
  <c r="J28" i="5"/>
  <c r="D37" i="5"/>
  <c r="D15" i="5" s="1"/>
  <c r="F28" i="5"/>
  <c r="J30" i="11"/>
  <c r="J111" i="11"/>
  <c r="D43" i="11"/>
  <c r="J33" i="7"/>
  <c r="F57" i="11"/>
  <c r="F114" i="11"/>
  <c r="G96" i="11"/>
  <c r="G134" i="11" s="1"/>
  <c r="F108" i="11"/>
  <c r="G29" i="11"/>
  <c r="D34" i="7"/>
  <c r="J57" i="11"/>
  <c r="K56" i="11"/>
  <c r="L56" i="7"/>
  <c r="I56" i="7"/>
  <c r="K25" i="5"/>
  <c r="J29" i="5"/>
  <c r="F21" i="7"/>
  <c r="G20" i="7"/>
  <c r="F20" i="7" s="1"/>
  <c r="H29" i="7"/>
  <c r="F30" i="7"/>
  <c r="E36" i="9"/>
  <c r="M10" i="11" l="1"/>
  <c r="D17" i="6" s="1"/>
  <c r="J15" i="11"/>
  <c r="D19" i="11"/>
  <c r="J101" i="11"/>
  <c r="J96" i="11" s="1"/>
  <c r="J19" i="11"/>
  <c r="D13" i="11"/>
  <c r="D17" i="11"/>
  <c r="F30" i="11"/>
  <c r="D30" i="11" s="1"/>
  <c r="F96" i="11"/>
  <c r="D11" i="11"/>
  <c r="F134" i="11"/>
  <c r="D24" i="11"/>
  <c r="J23" i="11"/>
  <c r="J134" i="11"/>
  <c r="O10" i="11"/>
  <c r="D32" i="6" s="1"/>
  <c r="D31" i="6" s="1"/>
  <c r="F18" i="11"/>
  <c r="D18" i="11" s="1"/>
  <c r="J16" i="11"/>
  <c r="D16" i="11" s="1"/>
  <c r="K29" i="11"/>
  <c r="J29" i="11" s="1"/>
  <c r="D32" i="11"/>
  <c r="F56" i="11"/>
  <c r="H15" i="11"/>
  <c r="F15" i="11" s="1"/>
  <c r="F28" i="11"/>
  <c r="D28" i="11" s="1"/>
  <c r="G26" i="11"/>
  <c r="F26" i="11" s="1"/>
  <c r="D26" i="11" s="1"/>
  <c r="F27" i="11"/>
  <c r="D27" i="11" s="1"/>
  <c r="F23" i="11"/>
  <c r="G20" i="11"/>
  <c r="F20" i="11" s="1"/>
  <c r="D20" i="11" s="1"/>
  <c r="F21" i="11"/>
  <c r="D21" i="11" s="1"/>
  <c r="G56" i="11"/>
  <c r="J56" i="11"/>
  <c r="D33" i="11"/>
  <c r="L10" i="7"/>
  <c r="D39" i="6" s="1"/>
  <c r="J30" i="7"/>
  <c r="D30" i="7" s="1"/>
  <c r="O10" i="7"/>
  <c r="D55" i="6" s="1"/>
  <c r="D54" i="6" s="1"/>
  <c r="J96" i="7"/>
  <c r="F29" i="7"/>
  <c r="K29" i="7"/>
  <c r="J29" i="7" s="1"/>
  <c r="D29" i="7" s="1"/>
  <c r="J26" i="7"/>
  <c r="J200" i="5"/>
  <c r="K23" i="7"/>
  <c r="J23" i="7" s="1"/>
  <c r="J238" i="5"/>
  <c r="F16" i="7"/>
  <c r="D16" i="7" s="1"/>
  <c r="G15" i="7"/>
  <c r="F15" i="7" s="1"/>
  <c r="J134" i="7"/>
  <c r="F101" i="7"/>
  <c r="F96" i="7" s="1"/>
  <c r="G96" i="7"/>
  <c r="G134" i="7" s="1"/>
  <c r="D12" i="7"/>
  <c r="J13" i="7"/>
  <c r="D13" i="7" s="1"/>
  <c r="M11" i="7"/>
  <c r="D20" i="7"/>
  <c r="D21" i="7"/>
  <c r="I23" i="7"/>
  <c r="I10" i="7" s="1"/>
  <c r="F25" i="7"/>
  <c r="D25" i="7" s="1"/>
  <c r="D26" i="7"/>
  <c r="D27" i="7"/>
  <c r="E56" i="7"/>
  <c r="D19" i="7"/>
  <c r="E15" i="7"/>
  <c r="D15" i="7" s="1"/>
  <c r="F33" i="7"/>
  <c r="D33" i="7"/>
  <c r="J118" i="5"/>
  <c r="J134" i="5"/>
  <c r="L90" i="5"/>
  <c r="L26" i="5" s="1"/>
  <c r="M90" i="5"/>
  <c r="M26" i="5" s="1"/>
  <c r="G90" i="5"/>
  <c r="G26" i="5" s="1"/>
  <c r="F26" i="5" s="1"/>
  <c r="F111" i="5"/>
  <c r="F25" i="5"/>
  <c r="F29" i="5"/>
  <c r="D29" i="5" s="1"/>
  <c r="D23" i="5" s="1"/>
  <c r="D28" i="5"/>
  <c r="F29" i="11"/>
  <c r="E35" i="9"/>
  <c r="J25" i="5"/>
  <c r="H10" i="7"/>
  <c r="K10" i="11" l="1"/>
  <c r="D15" i="6" s="1"/>
  <c r="D15" i="11"/>
  <c r="H10" i="11"/>
  <c r="D134" i="11"/>
  <c r="D23" i="11"/>
  <c r="J10" i="11"/>
  <c r="D14" i="6" s="1"/>
  <c r="G10" i="11"/>
  <c r="K10" i="7"/>
  <c r="D38" i="6" s="1"/>
  <c r="G10" i="7"/>
  <c r="G238" i="5"/>
  <c r="F134" i="7"/>
  <c r="D134" i="7" s="1"/>
  <c r="J11" i="7"/>
  <c r="M10" i="7"/>
  <c r="D40" i="6" s="1"/>
  <c r="F23" i="7"/>
  <c r="E10" i="7"/>
  <c r="D42" i="6" s="1"/>
  <c r="J90" i="5"/>
  <c r="J26" i="5"/>
  <c r="D26" i="5" s="1"/>
  <c r="F90" i="5"/>
  <c r="D25" i="5"/>
  <c r="D29" i="11"/>
  <c r="F10" i="11"/>
  <c r="D13" i="6" s="1"/>
  <c r="D12" i="6" l="1"/>
  <c r="D30" i="6" s="1"/>
  <c r="D20" i="6" s="1"/>
  <c r="D10" i="11"/>
  <c r="G200" i="5"/>
  <c r="F200" i="5" s="1"/>
  <c r="F238" i="5"/>
  <c r="D238" i="5" s="1"/>
  <c r="D11" i="7"/>
  <c r="J10" i="7"/>
  <c r="D37" i="6" s="1"/>
  <c r="D23" i="7"/>
  <c r="D10" i="7" s="1"/>
  <c r="F10" i="7"/>
  <c r="D36" i="6" s="1"/>
  <c r="D35" i="6" s="1"/>
  <c r="D53" i="6" s="1"/>
  <c r="D43" i="6" s="1"/>
  <c r="N237" i="5"/>
  <c r="P237" i="5"/>
  <c r="G237" i="5"/>
  <c r="M237" i="5"/>
  <c r="I237" i="5"/>
  <c r="H237" i="5"/>
  <c r="O237" i="5"/>
  <c r="L237" i="5"/>
  <c r="E237" i="5"/>
  <c r="K237" i="5"/>
  <c r="M229" i="5" l="1"/>
  <c r="M228" i="5"/>
  <c r="M227" i="5"/>
  <c r="M226" i="5"/>
  <c r="M225" i="5"/>
  <c r="M224" i="5"/>
  <c r="M223" i="5"/>
  <c r="M222" i="5"/>
  <c r="M221" i="5"/>
  <c r="M220" i="5"/>
  <c r="M219" i="5"/>
  <c r="M218" i="5"/>
  <c r="M217" i="5"/>
  <c r="M216" i="5"/>
  <c r="M215" i="5"/>
  <c r="M214" i="5"/>
  <c r="M233" i="5"/>
  <c r="M211" i="5"/>
  <c r="M208" i="5"/>
  <c r="M205" i="5"/>
  <c r="M234" i="5"/>
  <c r="M207" i="5"/>
  <c r="M204" i="5"/>
  <c r="M235" i="5"/>
  <c r="M231" i="5"/>
  <c r="M232" i="5"/>
  <c r="M212" i="5"/>
  <c r="M203" i="5"/>
  <c r="M199" i="5"/>
  <c r="M198" i="5"/>
  <c r="M18" i="5" s="1"/>
  <c r="M197" i="5"/>
  <c r="M196" i="5"/>
  <c r="M195" i="5"/>
  <c r="M193" i="5"/>
  <c r="M192" i="5" s="1"/>
  <c r="M191" i="5"/>
  <c r="M190" i="5"/>
  <c r="M209" i="5"/>
  <c r="M202" i="5"/>
  <c r="M188" i="5"/>
  <c r="M187" i="5" s="1"/>
  <c r="O209" i="5"/>
  <c r="O208" i="5"/>
  <c r="O207" i="5"/>
  <c r="O235" i="5"/>
  <c r="O234" i="5"/>
  <c r="O233" i="5"/>
  <c r="O232" i="5"/>
  <c r="O231" i="5"/>
  <c r="O225" i="5"/>
  <c r="O221" i="5"/>
  <c r="O217" i="5"/>
  <c r="O228" i="5"/>
  <c r="O224" i="5"/>
  <c r="O220" i="5"/>
  <c r="O216" i="5"/>
  <c r="O202" i="5"/>
  <c r="O229" i="5"/>
  <c r="O227" i="5"/>
  <c r="O223" i="5"/>
  <c r="O215" i="5"/>
  <c r="O211" i="5"/>
  <c r="O191" i="5"/>
  <c r="O190" i="5"/>
  <c r="O222" i="5"/>
  <c r="O214" i="5"/>
  <c r="O205" i="5"/>
  <c r="O188" i="5"/>
  <c r="O187" i="5" s="1"/>
  <c r="O219" i="5"/>
  <c r="O204" i="5"/>
  <c r="O199" i="5"/>
  <c r="O198" i="5"/>
  <c r="O18" i="5" s="1"/>
  <c r="O197" i="5"/>
  <c r="O196" i="5"/>
  <c r="O195" i="5"/>
  <c r="O226" i="5"/>
  <c r="O203" i="5"/>
  <c r="O193" i="5"/>
  <c r="O192" i="5" s="1"/>
  <c r="O218" i="5"/>
  <c r="O212" i="5"/>
  <c r="G209" i="5"/>
  <c r="G208" i="5"/>
  <c r="G207" i="5"/>
  <c r="F237" i="5"/>
  <c r="G235" i="5"/>
  <c r="G234" i="5"/>
  <c r="G233" i="5"/>
  <c r="G232" i="5"/>
  <c r="G231" i="5"/>
  <c r="G227" i="5"/>
  <c r="G223" i="5"/>
  <c r="G219" i="5"/>
  <c r="G215" i="5"/>
  <c r="G212" i="5"/>
  <c r="G205" i="5"/>
  <c r="G226" i="5"/>
  <c r="G222" i="5"/>
  <c r="G218" i="5"/>
  <c r="G214" i="5"/>
  <c r="G211" i="5"/>
  <c r="G204" i="5"/>
  <c r="G202" i="5"/>
  <c r="G229" i="5"/>
  <c r="G225" i="5"/>
  <c r="G228" i="5"/>
  <c r="G221" i="5"/>
  <c r="G191" i="5"/>
  <c r="G190" i="5"/>
  <c r="G224" i="5"/>
  <c r="G220" i="5"/>
  <c r="G188" i="5"/>
  <c r="G217" i="5"/>
  <c r="G199" i="5"/>
  <c r="G198" i="5"/>
  <c r="G197" i="5"/>
  <c r="G196" i="5"/>
  <c r="G195" i="5"/>
  <c r="G193" i="5"/>
  <c r="G203" i="5"/>
  <c r="G216" i="5"/>
  <c r="K209" i="5"/>
  <c r="K208" i="5"/>
  <c r="K207" i="5"/>
  <c r="J237" i="5"/>
  <c r="K235" i="5"/>
  <c r="K234" i="5"/>
  <c r="K233" i="5"/>
  <c r="K232" i="5"/>
  <c r="K231" i="5"/>
  <c r="K229" i="5"/>
  <c r="K228" i="5"/>
  <c r="K224" i="5"/>
  <c r="K220" i="5"/>
  <c r="K216" i="5"/>
  <c r="K227" i="5"/>
  <c r="K223" i="5"/>
  <c r="K219" i="5"/>
  <c r="K215" i="5"/>
  <c r="K212" i="5"/>
  <c r="K205" i="5"/>
  <c r="K202" i="5"/>
  <c r="K226" i="5"/>
  <c r="K218" i="5"/>
  <c r="K191" i="5"/>
  <c r="K190" i="5"/>
  <c r="K217" i="5"/>
  <c r="K211" i="5"/>
  <c r="K203" i="5"/>
  <c r="K188" i="5"/>
  <c r="K225" i="5"/>
  <c r="K222" i="5"/>
  <c r="K214" i="5"/>
  <c r="K199" i="5"/>
  <c r="K198" i="5"/>
  <c r="K197" i="5"/>
  <c r="K196" i="5"/>
  <c r="K195" i="5"/>
  <c r="K221" i="5"/>
  <c r="K204" i="5"/>
  <c r="K193" i="5"/>
  <c r="P235" i="5"/>
  <c r="P234" i="5"/>
  <c r="P233" i="5"/>
  <c r="P232" i="5"/>
  <c r="P231" i="5"/>
  <c r="P205" i="5"/>
  <c r="P204" i="5"/>
  <c r="P203" i="5"/>
  <c r="P202" i="5"/>
  <c r="P229" i="5"/>
  <c r="P228" i="5"/>
  <c r="P224" i="5"/>
  <c r="P220" i="5"/>
  <c r="P216" i="5"/>
  <c r="P227" i="5"/>
  <c r="P223" i="5"/>
  <c r="P219" i="5"/>
  <c r="P215" i="5"/>
  <c r="P212" i="5"/>
  <c r="P209" i="5"/>
  <c r="P226" i="5"/>
  <c r="P222" i="5"/>
  <c r="P214" i="5"/>
  <c r="P188" i="5"/>
  <c r="P187" i="5" s="1"/>
  <c r="P225" i="5"/>
  <c r="P221" i="5"/>
  <c r="P199" i="5"/>
  <c r="P198" i="5"/>
  <c r="P18" i="5" s="1"/>
  <c r="P197" i="5"/>
  <c r="P196" i="5"/>
  <c r="P195" i="5"/>
  <c r="P218" i="5"/>
  <c r="P208" i="5"/>
  <c r="P193" i="5"/>
  <c r="P192" i="5" s="1"/>
  <c r="P217" i="5"/>
  <c r="P211" i="5"/>
  <c r="P190" i="5"/>
  <c r="P191" i="5"/>
  <c r="P207" i="5"/>
  <c r="L235" i="5"/>
  <c r="L234" i="5"/>
  <c r="L233" i="5"/>
  <c r="L232" i="5"/>
  <c r="L231" i="5"/>
  <c r="L205" i="5"/>
  <c r="L204" i="5"/>
  <c r="L203" i="5"/>
  <c r="L229" i="5"/>
  <c r="L227" i="5"/>
  <c r="L223" i="5"/>
  <c r="L219" i="5"/>
  <c r="L215" i="5"/>
  <c r="L212" i="5"/>
  <c r="L209" i="5"/>
  <c r="L226" i="5"/>
  <c r="L222" i="5"/>
  <c r="L218" i="5"/>
  <c r="L214" i="5"/>
  <c r="L211" i="5"/>
  <c r="L208" i="5"/>
  <c r="L225" i="5"/>
  <c r="L224" i="5"/>
  <c r="L217" i="5"/>
  <c r="L207" i="5"/>
  <c r="L202" i="5"/>
  <c r="L188" i="5"/>
  <c r="L187" i="5" s="1"/>
  <c r="L216" i="5"/>
  <c r="L199" i="5"/>
  <c r="L198" i="5"/>
  <c r="L18" i="5" s="1"/>
  <c r="L197" i="5"/>
  <c r="L196" i="5"/>
  <c r="L195" i="5"/>
  <c r="L221" i="5"/>
  <c r="L193" i="5"/>
  <c r="L192" i="5" s="1"/>
  <c r="L220" i="5"/>
  <c r="L190" i="5"/>
  <c r="L191" i="5"/>
  <c r="L228" i="5"/>
  <c r="H235" i="5"/>
  <c r="H234" i="5"/>
  <c r="H233" i="5"/>
  <c r="H232" i="5"/>
  <c r="H231" i="5"/>
  <c r="H205" i="5"/>
  <c r="H204" i="5"/>
  <c r="H203" i="5"/>
  <c r="H229" i="5"/>
  <c r="H226" i="5"/>
  <c r="H222" i="5"/>
  <c r="H218" i="5"/>
  <c r="H214" i="5"/>
  <c r="H211" i="5"/>
  <c r="H208" i="5"/>
  <c r="H225" i="5"/>
  <c r="H221" i="5"/>
  <c r="H217" i="5"/>
  <c r="H207" i="5"/>
  <c r="H228" i="5"/>
  <c r="H224" i="5"/>
  <c r="H220" i="5"/>
  <c r="H219" i="5"/>
  <c r="H209" i="5"/>
  <c r="H199" i="5"/>
  <c r="H198" i="5"/>
  <c r="H18" i="5" s="1"/>
  <c r="H197" i="5"/>
  <c r="H196" i="5"/>
  <c r="H195" i="5"/>
  <c r="H227" i="5"/>
  <c r="H216" i="5"/>
  <c r="H212" i="5"/>
  <c r="H193" i="5"/>
  <c r="H192" i="5" s="1"/>
  <c r="H188" i="5"/>
  <c r="H187" i="5" s="1"/>
  <c r="H223" i="5"/>
  <c r="H190" i="5"/>
  <c r="H215" i="5"/>
  <c r="H202" i="5"/>
  <c r="H191" i="5"/>
  <c r="E229" i="5"/>
  <c r="E228" i="5"/>
  <c r="E227" i="5"/>
  <c r="E226" i="5"/>
  <c r="E225" i="5"/>
  <c r="E224" i="5"/>
  <c r="E223" i="5"/>
  <c r="E222" i="5"/>
  <c r="E221" i="5"/>
  <c r="E220" i="5"/>
  <c r="E219" i="5"/>
  <c r="E218" i="5"/>
  <c r="E217" i="5"/>
  <c r="E216" i="5"/>
  <c r="E215" i="5"/>
  <c r="E214" i="5"/>
  <c r="E235" i="5"/>
  <c r="E232" i="5"/>
  <c r="E212" i="5"/>
  <c r="E209" i="5"/>
  <c r="E233" i="5"/>
  <c r="E231" i="5"/>
  <c r="E199" i="5"/>
  <c r="E198" i="5"/>
  <c r="E18" i="5" s="1"/>
  <c r="E197" i="5"/>
  <c r="E196" i="5"/>
  <c r="E195" i="5"/>
  <c r="E205" i="5"/>
  <c r="E203" i="5"/>
  <c r="E202" i="5"/>
  <c r="E193" i="5"/>
  <c r="E192" i="5" s="1"/>
  <c r="E208" i="5"/>
  <c r="E204" i="5"/>
  <c r="E191" i="5"/>
  <c r="E190" i="5"/>
  <c r="E234" i="5"/>
  <c r="E211" i="5"/>
  <c r="E188" i="5"/>
  <c r="E187" i="5" s="1"/>
  <c r="E207" i="5"/>
  <c r="I229" i="5"/>
  <c r="I228" i="5"/>
  <c r="I227" i="5"/>
  <c r="I226" i="5"/>
  <c r="I225" i="5"/>
  <c r="I224" i="5"/>
  <c r="I223" i="5"/>
  <c r="I222" i="5"/>
  <c r="I221" i="5"/>
  <c r="I220" i="5"/>
  <c r="I219" i="5"/>
  <c r="I218" i="5"/>
  <c r="I217" i="5"/>
  <c r="I216" i="5"/>
  <c r="I215" i="5"/>
  <c r="I214" i="5"/>
  <c r="I232" i="5"/>
  <c r="I231" i="5"/>
  <c r="I207" i="5"/>
  <c r="I204" i="5"/>
  <c r="I233" i="5"/>
  <c r="I203" i="5"/>
  <c r="I234" i="5"/>
  <c r="I209" i="5"/>
  <c r="I205" i="5"/>
  <c r="I199" i="5"/>
  <c r="I198" i="5"/>
  <c r="I18" i="5" s="1"/>
  <c r="I197" i="5"/>
  <c r="I196" i="5"/>
  <c r="I195" i="5"/>
  <c r="I212" i="5"/>
  <c r="I208" i="5"/>
  <c r="I193" i="5"/>
  <c r="I192" i="5" s="1"/>
  <c r="I235" i="5"/>
  <c r="I211" i="5"/>
  <c r="I202" i="5"/>
  <c r="I191" i="5"/>
  <c r="I190" i="5"/>
  <c r="I188" i="5"/>
  <c r="I187" i="5" s="1"/>
  <c r="N212" i="5"/>
  <c r="N211" i="5"/>
  <c r="N235" i="5"/>
  <c r="N234" i="5"/>
  <c r="N233" i="5"/>
  <c r="N232" i="5"/>
  <c r="N231" i="5"/>
  <c r="N226" i="5"/>
  <c r="N222" i="5"/>
  <c r="N218" i="5"/>
  <c r="N214" i="5"/>
  <c r="N207" i="5"/>
  <c r="N204" i="5"/>
  <c r="N225" i="5"/>
  <c r="N221" i="5"/>
  <c r="N217" i="5"/>
  <c r="N203" i="5"/>
  <c r="N228" i="5"/>
  <c r="N224" i="5"/>
  <c r="N216" i="5"/>
  <c r="N193" i="5"/>
  <c r="N192" i="5" s="1"/>
  <c r="N229" i="5"/>
  <c r="N227" i="5"/>
  <c r="N215" i="5"/>
  <c r="N191" i="5"/>
  <c r="N190" i="5"/>
  <c r="N223" i="5"/>
  <c r="N220" i="5"/>
  <c r="N209" i="5"/>
  <c r="N205" i="5"/>
  <c r="N202" i="5"/>
  <c r="N188" i="5"/>
  <c r="N187" i="5" s="1"/>
  <c r="N196" i="5"/>
  <c r="N208" i="5"/>
  <c r="N197" i="5"/>
  <c r="N219" i="5"/>
  <c r="N198" i="5"/>
  <c r="N18" i="5" s="1"/>
  <c r="N199" i="5"/>
  <c r="N195" i="5"/>
  <c r="D237" i="5" l="1"/>
  <c r="N189" i="5"/>
  <c r="N210" i="5"/>
  <c r="M189" i="5"/>
  <c r="H189" i="5"/>
  <c r="J215" i="5"/>
  <c r="L189" i="5"/>
  <c r="I210" i="5"/>
  <c r="L210" i="5"/>
  <c r="J212" i="5"/>
  <c r="P206" i="5"/>
  <c r="J204" i="5"/>
  <c r="J222" i="5"/>
  <c r="J218" i="5"/>
  <c r="J227" i="5"/>
  <c r="J233" i="5"/>
  <c r="F205" i="5"/>
  <c r="F233" i="5"/>
  <c r="O210" i="5"/>
  <c r="N230" i="5"/>
  <c r="I189" i="5"/>
  <c r="E210" i="5"/>
  <c r="H230" i="5"/>
  <c r="J197" i="5"/>
  <c r="J228" i="5"/>
  <c r="F197" i="5"/>
  <c r="F191" i="5"/>
  <c r="F223" i="5"/>
  <c r="P194" i="5"/>
  <c r="P16" i="5" s="1"/>
  <c r="P17" i="5"/>
  <c r="F203" i="5"/>
  <c r="F214" i="5"/>
  <c r="G213" i="5"/>
  <c r="L213" i="5"/>
  <c r="P22" i="5"/>
  <c r="P19" i="5"/>
  <c r="J221" i="5"/>
  <c r="J198" i="5"/>
  <c r="J18" i="5" s="1"/>
  <c r="K18" i="5"/>
  <c r="J225" i="5"/>
  <c r="J217" i="5"/>
  <c r="J226" i="5"/>
  <c r="J216" i="5"/>
  <c r="J229" i="5"/>
  <c r="J234" i="5"/>
  <c r="J208" i="5"/>
  <c r="F193" i="5"/>
  <c r="G192" i="5"/>
  <c r="F192" i="5" s="1"/>
  <c r="F198" i="5"/>
  <c r="F18" i="5" s="1"/>
  <c r="G18" i="5"/>
  <c r="F220" i="5"/>
  <c r="F221" i="5"/>
  <c r="G201" i="5"/>
  <c r="F202" i="5"/>
  <c r="F21" i="5" s="1"/>
  <c r="G21" i="5"/>
  <c r="F218" i="5"/>
  <c r="F212" i="5"/>
  <c r="F227" i="5"/>
  <c r="F234" i="5"/>
  <c r="F208" i="5"/>
  <c r="O19" i="5"/>
  <c r="O22" i="5"/>
  <c r="O213" i="5"/>
  <c r="M22" i="5"/>
  <c r="M19" i="5"/>
  <c r="M213" i="5"/>
  <c r="N17" i="5"/>
  <c r="N194" i="5"/>
  <c r="N16" i="5" s="1"/>
  <c r="N201" i="5"/>
  <c r="N20" i="5" s="1"/>
  <c r="N21" i="5"/>
  <c r="N213" i="5"/>
  <c r="L22" i="5"/>
  <c r="L19" i="5"/>
  <c r="O194" i="5"/>
  <c r="O16" i="5" s="1"/>
  <c r="O17" i="5"/>
  <c r="H22" i="5"/>
  <c r="H19" i="5"/>
  <c r="N22" i="5"/>
  <c r="N19" i="5"/>
  <c r="I201" i="5"/>
  <c r="I20" i="5" s="1"/>
  <c r="I21" i="5"/>
  <c r="I213" i="5"/>
  <c r="E206" i="5"/>
  <c r="E189" i="5"/>
  <c r="E194" i="5"/>
  <c r="E16" i="5" s="1"/>
  <c r="E17" i="5"/>
  <c r="E213" i="5"/>
  <c r="H206" i="5"/>
  <c r="L201" i="5"/>
  <c r="L20" i="5" s="1"/>
  <c r="L21" i="5"/>
  <c r="P189" i="5"/>
  <c r="P201" i="5"/>
  <c r="P20" i="5" s="1"/>
  <c r="P21" i="5"/>
  <c r="P230" i="5"/>
  <c r="K194" i="5"/>
  <c r="J195" i="5"/>
  <c r="J17" i="5" s="1"/>
  <c r="K17" i="5"/>
  <c r="J199" i="5"/>
  <c r="K187" i="5"/>
  <c r="J188" i="5"/>
  <c r="J187" i="5" s="1"/>
  <c r="K189" i="5"/>
  <c r="J190" i="5"/>
  <c r="K201" i="5"/>
  <c r="J202" i="5"/>
  <c r="J21" i="5" s="1"/>
  <c r="K21" i="5"/>
  <c r="J219" i="5"/>
  <c r="J220" i="5"/>
  <c r="K230" i="5"/>
  <c r="J231" i="5"/>
  <c r="J235" i="5"/>
  <c r="J209" i="5"/>
  <c r="G194" i="5"/>
  <c r="F195" i="5"/>
  <c r="F17" i="5" s="1"/>
  <c r="G17" i="5"/>
  <c r="F199" i="5"/>
  <c r="F224" i="5"/>
  <c r="F228" i="5"/>
  <c r="F204" i="5"/>
  <c r="F222" i="5"/>
  <c r="F215" i="5"/>
  <c r="G230" i="5"/>
  <c r="F231" i="5"/>
  <c r="F235" i="5"/>
  <c r="F209" i="5"/>
  <c r="O201" i="5"/>
  <c r="O20" i="5" s="1"/>
  <c r="O21" i="5"/>
  <c r="O230" i="5"/>
  <c r="I194" i="5"/>
  <c r="I16" i="5" s="1"/>
  <c r="I17" i="5"/>
  <c r="I230" i="5"/>
  <c r="H194" i="5"/>
  <c r="H16" i="5" s="1"/>
  <c r="H17" i="5"/>
  <c r="H213" i="5"/>
  <c r="P213" i="5"/>
  <c r="J211" i="5"/>
  <c r="K210" i="5"/>
  <c r="K206" i="5"/>
  <c r="J207" i="5"/>
  <c r="G187" i="5"/>
  <c r="F188" i="5"/>
  <c r="F187" i="5" s="1"/>
  <c r="F229" i="5"/>
  <c r="G206" i="5"/>
  <c r="F207" i="5"/>
  <c r="M194" i="5"/>
  <c r="M16" i="5" s="1"/>
  <c r="M17" i="5"/>
  <c r="M230" i="5"/>
  <c r="I19" i="5"/>
  <c r="I22" i="5"/>
  <c r="N206" i="5"/>
  <c r="I206" i="5"/>
  <c r="E201" i="5"/>
  <c r="E20" i="5" s="1"/>
  <c r="E21" i="5"/>
  <c r="E19" i="5"/>
  <c r="E22" i="5"/>
  <c r="E230" i="5"/>
  <c r="H201" i="5"/>
  <c r="H20" i="5" s="1"/>
  <c r="H21" i="5"/>
  <c r="H210" i="5"/>
  <c r="L194" i="5"/>
  <c r="L16" i="5" s="1"/>
  <c r="L17" i="5"/>
  <c r="L206" i="5"/>
  <c r="L230" i="5"/>
  <c r="P210" i="5"/>
  <c r="J193" i="5"/>
  <c r="K192" i="5"/>
  <c r="J192" i="5" s="1"/>
  <c r="J196" i="5"/>
  <c r="K22" i="5"/>
  <c r="K19" i="5"/>
  <c r="J214" i="5"/>
  <c r="K213" i="5"/>
  <c r="J203" i="5"/>
  <c r="J191" i="5"/>
  <c r="J205" i="5"/>
  <c r="J223" i="5"/>
  <c r="J224" i="5"/>
  <c r="J232" i="5"/>
  <c r="F216" i="5"/>
  <c r="F196" i="5"/>
  <c r="G19" i="5"/>
  <c r="G22" i="5"/>
  <c r="F217" i="5"/>
  <c r="G189" i="5"/>
  <c r="F190" i="5"/>
  <c r="F225" i="5"/>
  <c r="F211" i="5"/>
  <c r="G210" i="5"/>
  <c r="F226" i="5"/>
  <c r="F219" i="5"/>
  <c r="F232" i="5"/>
  <c r="O189" i="5"/>
  <c r="O206" i="5"/>
  <c r="M201" i="5"/>
  <c r="M20" i="5" s="1"/>
  <c r="M21" i="5"/>
  <c r="M206" i="5"/>
  <c r="M210" i="5"/>
  <c r="J189" i="5" l="1"/>
  <c r="F189" i="5"/>
  <c r="I186" i="5"/>
  <c r="I27" i="5" s="1"/>
  <c r="I24" i="5" s="1"/>
  <c r="H186" i="5"/>
  <c r="H27" i="5" s="1"/>
  <c r="H24" i="5" s="1"/>
  <c r="O186" i="5"/>
  <c r="O27" i="5" s="1"/>
  <c r="O24" i="5" s="1"/>
  <c r="F206" i="5"/>
  <c r="N186" i="5"/>
  <c r="N27" i="5" s="1"/>
  <c r="N24" i="5" s="1"/>
  <c r="E38" i="9"/>
  <c r="E37" i="9" s="1"/>
  <c r="J213" i="5"/>
  <c r="P186" i="5"/>
  <c r="P27" i="5" s="1"/>
  <c r="P24" i="5" s="1"/>
  <c r="E186" i="5"/>
  <c r="E27" i="5" s="1"/>
  <c r="J201" i="5"/>
  <c r="J20" i="5" s="1"/>
  <c r="K20" i="5"/>
  <c r="J194" i="5"/>
  <c r="J16" i="5" s="1"/>
  <c r="K16" i="5"/>
  <c r="J206" i="5"/>
  <c r="F210" i="5"/>
  <c r="F19" i="5"/>
  <c r="F22" i="5"/>
  <c r="J22" i="5"/>
  <c r="J19" i="5"/>
  <c r="J210" i="5"/>
  <c r="F230" i="5"/>
  <c r="F201" i="5"/>
  <c r="F20" i="5" s="1"/>
  <c r="G20" i="5"/>
  <c r="L186" i="5"/>
  <c r="K186" i="5"/>
  <c r="G186" i="5"/>
  <c r="M186" i="5"/>
  <c r="F194" i="5"/>
  <c r="F16" i="5" s="1"/>
  <c r="G16" i="5"/>
  <c r="J230" i="5"/>
  <c r="F213" i="5"/>
  <c r="I23" i="5" l="1"/>
  <c r="H23" i="5"/>
  <c r="O23" i="5"/>
  <c r="D51" i="4" s="1"/>
  <c r="P23" i="5"/>
  <c r="D52" i="4" s="1"/>
  <c r="D85" i="4" s="1"/>
  <c r="E23" i="5"/>
  <c r="D49" i="4" s="1"/>
  <c r="D82" i="4" s="1"/>
  <c r="D96" i="4" s="1"/>
  <c r="E39" i="9"/>
  <c r="N23" i="5"/>
  <c r="D48" i="4" s="1"/>
  <c r="D81" i="4" s="1"/>
  <c r="D95" i="4" s="1"/>
  <c r="J186" i="5"/>
  <c r="J23" i="5" s="1"/>
  <c r="D44" i="4" s="1"/>
  <c r="L27" i="5"/>
  <c r="L24" i="5" s="1"/>
  <c r="L23" i="5"/>
  <c r="D46" i="4" s="1"/>
  <c r="K27" i="5"/>
  <c r="K23" i="5"/>
  <c r="D45" i="4" s="1"/>
  <c r="F186" i="5"/>
  <c r="F23" i="5" s="1"/>
  <c r="D43" i="4" s="1"/>
  <c r="E24" i="5"/>
  <c r="G27" i="5"/>
  <c r="G23" i="5"/>
  <c r="M27" i="5"/>
  <c r="M24" i="5" s="1"/>
  <c r="M23" i="5"/>
  <c r="D47" i="4" s="1"/>
  <c r="D50" i="4" l="1"/>
  <c r="D83" i="4" s="1"/>
  <c r="D84" i="4"/>
  <c r="D16" i="4"/>
  <c r="D23" i="4"/>
  <c r="D80" i="4" s="1"/>
  <c r="D94" i="4" s="1"/>
  <c r="D19" i="4"/>
  <c r="D79" i="4" s="1"/>
  <c r="D93" i="4" s="1"/>
  <c r="J27" i="5"/>
  <c r="J24" i="5" s="1"/>
  <c r="K24" i="5"/>
  <c r="F27" i="5"/>
  <c r="G24" i="5"/>
  <c r="D42" i="4"/>
  <c r="D76" i="4"/>
  <c r="D90" i="4" s="1"/>
  <c r="D41" i="4" l="1"/>
  <c r="D15" i="4"/>
  <c r="D11" i="4" s="1"/>
  <c r="D75" i="4" s="1"/>
  <c r="D89" i="4" s="1"/>
  <c r="D78" i="4"/>
  <c r="D92" i="4" s="1"/>
  <c r="F24" i="5"/>
  <c r="D24" i="5" s="1"/>
  <c r="D27" i="5"/>
  <c r="D77" i="4" l="1"/>
  <c r="D91" i="4" s="1"/>
</calcChain>
</file>

<file path=xl/sharedStrings.xml><?xml version="1.0" encoding="utf-8"?>
<sst xmlns="http://schemas.openxmlformats.org/spreadsheetml/2006/main" count="2531" uniqueCount="1247">
  <si>
    <t>Ūkio subjektas: Uždaroji akcinė bendrovė "Rietavo komunalinis ūkis"</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</si>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</sst>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2" xfId="8" xr:uid="{00000000-0005-0000-0000-000008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tabSelected="1"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nLwGFdWF9I3DOzoFTBos2ycUK2eJ7o99JN6cVwjtdN/vLATdkrUwGKGOiODdFd/wNtCfXJrWfOFpTIx2FEYarQ==" saltValue="MeVUV8I/tuZDsv24ZRAVylHrTLVILw7/ilYxZ/Blv0C24PZPcrQ4waU9akh3Ja7+jCtZSVBrsCmjYgvLoZLYSQ=="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34"/>
  <sheetViews>
    <sheetView zoomScale="90" zoomScaleNormal="90" workbookViewId="0">
      <selection activeCell="K119" sqref="K119:P133"/>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2320.3045022290207</v>
      </c>
      <c r="E10" s="1042">
        <f t="shared" si="0"/>
        <v>0</v>
      </c>
      <c r="F10" s="1042">
        <f t="shared" si="0"/>
        <v>778.0303611760429</v>
      </c>
      <c r="G10" s="1043">
        <f t="shared" si="0"/>
        <v>124.47500252328669</v>
      </c>
      <c r="H10" s="1044">
        <f t="shared" si="0"/>
        <v>42.730287086010243</v>
      </c>
      <c r="I10" s="1045">
        <f t="shared" si="0"/>
        <v>610.82507156674592</v>
      </c>
      <c r="J10" s="1046">
        <f t="shared" si="0"/>
        <v>956.67834508142562</v>
      </c>
      <c r="K10" s="1043">
        <f t="shared" si="0"/>
        <v>818.27287339047268</v>
      </c>
      <c r="L10" s="1044">
        <f t="shared" si="0"/>
        <v>137.31816042797726</v>
      </c>
      <c r="M10" s="1045">
        <f t="shared" si="0"/>
        <v>1.0873112629757784</v>
      </c>
      <c r="N10" s="1047">
        <f t="shared" si="0"/>
        <v>0</v>
      </c>
      <c r="O10" s="1048">
        <f t="shared" si="0"/>
        <v>565.38478926435937</v>
      </c>
      <c r="P10" s="1042">
        <f t="shared" si="0"/>
        <v>20.211006707192748</v>
      </c>
      <c r="Q10" s="29"/>
    </row>
    <row r="11" spans="1:17" s="1" customFormat="1" ht="15.75" thickTop="1" x14ac:dyDescent="0.25">
      <c r="B11" s="499" t="s">
        <v>96</v>
      </c>
      <c r="C11" s="500" t="s">
        <v>8</v>
      </c>
      <c r="D11" s="1049">
        <f t="shared" ref="D11:D55" si="1">E11+F11+J11+N11+O11+P11</f>
        <v>0</v>
      </c>
      <c r="E11" s="1050">
        <f>SUM(E12:E14)</f>
        <v>0</v>
      </c>
      <c r="F11" s="1050">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51">
        <f t="shared" si="4"/>
        <v>0</v>
      </c>
      <c r="O11" s="145">
        <f t="shared" si="4"/>
        <v>0</v>
      </c>
      <c r="P11" s="1050">
        <f t="shared" si="4"/>
        <v>0</v>
      </c>
    </row>
    <row r="12" spans="1:17" s="1" customFormat="1" x14ac:dyDescent="0.25">
      <c r="B12" s="509" t="s">
        <v>98</v>
      </c>
      <c r="C12" s="510" t="s">
        <v>10</v>
      </c>
      <c r="D12" s="1049">
        <f t="shared" si="1"/>
        <v>0</v>
      </c>
      <c r="E12" s="1052">
        <f>SUM(E35,E58,E98)</f>
        <v>0</v>
      </c>
      <c r="F12" s="1050">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53">
        <f t="shared" si="6"/>
        <v>0</v>
      </c>
      <c r="O12" s="145">
        <f t="shared" si="6"/>
        <v>0</v>
      </c>
      <c r="P12" s="1050">
        <f t="shared" si="6"/>
        <v>0</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2086.5773277077051</v>
      </c>
      <c r="E15" s="1050">
        <f>SUM(E16:E19)</f>
        <v>0</v>
      </c>
      <c r="F15" s="1050">
        <f t="shared" si="2"/>
        <v>756.86913844542107</v>
      </c>
      <c r="G15" s="147">
        <f>SUM(G16:G19)</f>
        <v>119.95313406105845</v>
      </c>
      <c r="H15" s="148">
        <f>SUM(H16:H19)</f>
        <v>42.067204103554104</v>
      </c>
      <c r="I15" s="149">
        <f>SUM(I16:I19)</f>
        <v>594.84880028080852</v>
      </c>
      <c r="J15" s="146">
        <f t="shared" si="3"/>
        <v>946.02023501850704</v>
      </c>
      <c r="K15" s="147">
        <f t="shared" ref="K15:P15" si="7">SUM(K16:K19)</f>
        <v>816.6071400571393</v>
      </c>
      <c r="L15" s="148">
        <f t="shared" si="7"/>
        <v>128.325783698392</v>
      </c>
      <c r="M15" s="149">
        <f t="shared" si="7"/>
        <v>1.0873112629757784</v>
      </c>
      <c r="N15" s="1051">
        <f t="shared" si="7"/>
        <v>0</v>
      </c>
      <c r="O15" s="145">
        <f t="shared" si="7"/>
        <v>374.57663512710997</v>
      </c>
      <c r="P15" s="1050">
        <f t="shared" si="7"/>
        <v>9.1113191166666656</v>
      </c>
    </row>
    <row r="16" spans="1:17" s="1" customFormat="1" x14ac:dyDescent="0.25">
      <c r="B16" s="509" t="s">
        <v>104</v>
      </c>
      <c r="C16" s="510" t="s">
        <v>17</v>
      </c>
      <c r="D16" s="1049">
        <f t="shared" si="1"/>
        <v>209.69810752538407</v>
      </c>
      <c r="E16" s="1052">
        <f>SUM(E39,E62,E102)</f>
        <v>0</v>
      </c>
      <c r="F16" s="1050">
        <f t="shared" si="2"/>
        <v>43.775914361486031</v>
      </c>
      <c r="G16" s="360">
        <f t="shared" ref="G16:I19" si="8">SUM(G39,G62,G102)</f>
        <v>18.222790257931926</v>
      </c>
      <c r="H16" s="361">
        <f t="shared" si="8"/>
        <v>25.553124103554104</v>
      </c>
      <c r="I16" s="362">
        <f t="shared" si="8"/>
        <v>0</v>
      </c>
      <c r="J16" s="146">
        <f t="shared" si="3"/>
        <v>146.43372043315122</v>
      </c>
      <c r="K16" s="360">
        <f t="shared" ref="K16:P19" si="9">SUM(K39,K62,K102)</f>
        <v>72.802193766666647</v>
      </c>
      <c r="L16" s="361">
        <f t="shared" si="9"/>
        <v>72.544215403508773</v>
      </c>
      <c r="M16" s="362">
        <f t="shared" si="9"/>
        <v>1.0873112629757784</v>
      </c>
      <c r="N16" s="1053">
        <f t="shared" si="9"/>
        <v>0</v>
      </c>
      <c r="O16" s="145">
        <f t="shared" si="9"/>
        <v>10.377153614080164</v>
      </c>
      <c r="P16" s="1050">
        <f t="shared" si="9"/>
        <v>9.1113191166666656</v>
      </c>
    </row>
    <row r="17" spans="2:16" s="1" customFormat="1" x14ac:dyDescent="0.25">
      <c r="B17" s="509" t="s">
        <v>110</v>
      </c>
      <c r="C17" s="510" t="s">
        <v>597</v>
      </c>
      <c r="D17" s="1049">
        <f t="shared" si="1"/>
        <v>16.705638867451903</v>
      </c>
      <c r="E17" s="1052">
        <f>SUM(E40,E63,E103)</f>
        <v>0</v>
      </c>
      <c r="F17" s="1050">
        <f t="shared" si="2"/>
        <v>13.802622702598512</v>
      </c>
      <c r="G17" s="360">
        <f t="shared" si="8"/>
        <v>13.802622702598512</v>
      </c>
      <c r="H17" s="361">
        <f t="shared" si="8"/>
        <v>0</v>
      </c>
      <c r="I17" s="362">
        <f t="shared" si="8"/>
        <v>0</v>
      </c>
      <c r="J17" s="146">
        <f t="shared" si="3"/>
        <v>1.2426413145539907</v>
      </c>
      <c r="K17" s="360">
        <f t="shared" si="9"/>
        <v>0</v>
      </c>
      <c r="L17" s="361">
        <f t="shared" si="9"/>
        <v>1.2426413145539907</v>
      </c>
      <c r="M17" s="362">
        <f t="shared" si="9"/>
        <v>0</v>
      </c>
      <c r="N17" s="1053">
        <f t="shared" si="9"/>
        <v>0</v>
      </c>
      <c r="O17" s="145">
        <f t="shared" si="9"/>
        <v>1.6603748502994014</v>
      </c>
      <c r="P17" s="1050">
        <f t="shared" si="9"/>
        <v>0</v>
      </c>
    </row>
    <row r="18" spans="2:16" s="1" customFormat="1" x14ac:dyDescent="0.25">
      <c r="B18" s="509" t="s">
        <v>117</v>
      </c>
      <c r="C18" s="510" t="s">
        <v>23</v>
      </c>
      <c r="D18" s="1049">
        <f t="shared" si="1"/>
        <v>1541.7775235661215</v>
      </c>
      <c r="E18" s="1052">
        <f>SUM(E41,E64,E104)</f>
        <v>0</v>
      </c>
      <c r="F18" s="1050">
        <f t="shared" si="2"/>
        <v>493.40071177258505</v>
      </c>
      <c r="G18" s="360">
        <f t="shared" si="8"/>
        <v>0</v>
      </c>
      <c r="H18" s="361">
        <f t="shared" si="8"/>
        <v>0</v>
      </c>
      <c r="I18" s="362">
        <f t="shared" si="8"/>
        <v>493.40071177258505</v>
      </c>
      <c r="J18" s="146">
        <f t="shared" si="3"/>
        <v>685.83770513080617</v>
      </c>
      <c r="K18" s="360">
        <f t="shared" si="9"/>
        <v>685.83770513080617</v>
      </c>
      <c r="L18" s="361">
        <f t="shared" si="9"/>
        <v>0</v>
      </c>
      <c r="M18" s="362">
        <f t="shared" si="9"/>
        <v>0</v>
      </c>
      <c r="N18" s="1053">
        <f t="shared" si="9"/>
        <v>0</v>
      </c>
      <c r="O18" s="145">
        <f t="shared" si="9"/>
        <v>362.53910666273038</v>
      </c>
      <c r="P18" s="1050">
        <f t="shared" si="9"/>
        <v>0</v>
      </c>
    </row>
    <row r="19" spans="2:16" s="1" customFormat="1" ht="38.25" x14ac:dyDescent="0.25">
      <c r="B19" s="509" t="s">
        <v>598</v>
      </c>
      <c r="C19" s="510" t="s">
        <v>599</v>
      </c>
      <c r="D19" s="1049">
        <f t="shared" si="1"/>
        <v>318.39605774874724</v>
      </c>
      <c r="E19" s="1052">
        <f>SUM(E42,E65,E105)</f>
        <v>0</v>
      </c>
      <c r="F19" s="1050">
        <f t="shared" si="2"/>
        <v>205.8898896087515</v>
      </c>
      <c r="G19" s="360">
        <f t="shared" si="8"/>
        <v>87.927721100528018</v>
      </c>
      <c r="H19" s="361">
        <f t="shared" si="8"/>
        <v>16.51408</v>
      </c>
      <c r="I19" s="362">
        <f t="shared" si="8"/>
        <v>101.44808850822348</v>
      </c>
      <c r="J19" s="146">
        <f t="shared" si="3"/>
        <v>112.50616813999576</v>
      </c>
      <c r="K19" s="360">
        <f t="shared" si="9"/>
        <v>57.967241159666528</v>
      </c>
      <c r="L19" s="361">
        <f t="shared" si="9"/>
        <v>54.538926980329229</v>
      </c>
      <c r="M19" s="362">
        <f t="shared" si="9"/>
        <v>0</v>
      </c>
      <c r="N19" s="1053">
        <f t="shared" si="9"/>
        <v>0</v>
      </c>
      <c r="O19" s="145">
        <f t="shared" si="9"/>
        <v>0</v>
      </c>
      <c r="P19" s="1050">
        <f t="shared" si="9"/>
        <v>0</v>
      </c>
    </row>
    <row r="20" spans="2:16" s="1" customFormat="1" x14ac:dyDescent="0.25">
      <c r="B20" s="499" t="s">
        <v>124</v>
      </c>
      <c r="C20" s="524" t="s">
        <v>27</v>
      </c>
      <c r="D20" s="1049">
        <f t="shared" si="1"/>
        <v>186.34775626624381</v>
      </c>
      <c r="E20" s="1050">
        <f>SUM(E21:E22)</f>
        <v>0</v>
      </c>
      <c r="F20" s="1050">
        <f t="shared" si="2"/>
        <v>2.0697236157894747</v>
      </c>
      <c r="G20" s="147">
        <f>SUM(G21:G22)</f>
        <v>1.4066406333333341</v>
      </c>
      <c r="H20" s="148">
        <f>SUM(H21:H22)</f>
        <v>0.66308298245614061</v>
      </c>
      <c r="I20" s="149">
        <f>SUM(I21:I22)</f>
        <v>0</v>
      </c>
      <c r="J20" s="146">
        <f t="shared" si="3"/>
        <v>3.3744900482625484</v>
      </c>
      <c r="K20" s="147">
        <f t="shared" ref="K20:P20" si="10">SUM(K21:K22)</f>
        <v>1.6657333333333333</v>
      </c>
      <c r="L20" s="148">
        <f t="shared" si="10"/>
        <v>1.7087567149292151</v>
      </c>
      <c r="M20" s="149">
        <f t="shared" si="10"/>
        <v>0</v>
      </c>
      <c r="N20" s="1051">
        <f t="shared" si="10"/>
        <v>0</v>
      </c>
      <c r="O20" s="145">
        <f t="shared" si="10"/>
        <v>180.90354260219178</v>
      </c>
      <c r="P20" s="1050">
        <f t="shared" si="10"/>
        <v>0</v>
      </c>
    </row>
    <row r="21" spans="2:16" s="1" customFormat="1" ht="51.75" x14ac:dyDescent="0.25">
      <c r="B21" s="509" t="s">
        <v>126</v>
      </c>
      <c r="C21" s="525" t="s">
        <v>29</v>
      </c>
      <c r="D21" s="1049">
        <f t="shared" si="1"/>
        <v>184.45749371798127</v>
      </c>
      <c r="E21" s="1052">
        <f>SUM(E44,E67,E107)</f>
        <v>0</v>
      </c>
      <c r="F21" s="1050">
        <f t="shared" si="2"/>
        <v>2.0697236157894747</v>
      </c>
      <c r="G21" s="360">
        <f>SUM(G44,G67,G107)</f>
        <v>1.4066406333333341</v>
      </c>
      <c r="H21" s="361">
        <f>SUM(H44,H67,H107)</f>
        <v>0.66308298245614061</v>
      </c>
      <c r="I21" s="362">
        <f>SUM(I44,I67,I107)</f>
        <v>0</v>
      </c>
      <c r="J21" s="146">
        <f t="shared" si="3"/>
        <v>1.4842275000000003</v>
      </c>
      <c r="K21" s="360">
        <f t="shared" ref="K21:P21" si="11">SUM(K44,K67,K107)</f>
        <v>1.2084000000000001</v>
      </c>
      <c r="L21" s="361">
        <f t="shared" si="11"/>
        <v>0.2758275</v>
      </c>
      <c r="M21" s="362">
        <f t="shared" si="11"/>
        <v>0</v>
      </c>
      <c r="N21" s="1053">
        <f t="shared" si="11"/>
        <v>0</v>
      </c>
      <c r="O21" s="145">
        <f t="shared" si="11"/>
        <v>180.90354260219178</v>
      </c>
      <c r="P21" s="1050">
        <f t="shared" si="11"/>
        <v>0</v>
      </c>
    </row>
    <row r="22" spans="2:16" s="1" customFormat="1" x14ac:dyDescent="0.25">
      <c r="B22" s="509" t="s">
        <v>128</v>
      </c>
      <c r="C22" s="525" t="s">
        <v>31</v>
      </c>
      <c r="D22" s="1049">
        <f t="shared" si="1"/>
        <v>1.8902625482625481</v>
      </c>
      <c r="E22" s="1052">
        <f>SUM(E45,E68)</f>
        <v>0</v>
      </c>
      <c r="F22" s="1050">
        <f t="shared" si="2"/>
        <v>0</v>
      </c>
      <c r="G22" s="360">
        <f>SUM(G45,G68)</f>
        <v>0</v>
      </c>
      <c r="H22" s="361">
        <f>SUM(H45,H68)</f>
        <v>0</v>
      </c>
      <c r="I22" s="362">
        <f>SUM(I45,I68)</f>
        <v>0</v>
      </c>
      <c r="J22" s="146">
        <f t="shared" si="3"/>
        <v>1.8902625482625481</v>
      </c>
      <c r="K22" s="360">
        <f t="shared" ref="K22:P22" si="12">SUM(K45,K68)</f>
        <v>0.45733333333333326</v>
      </c>
      <c r="L22" s="361">
        <f t="shared" si="12"/>
        <v>1.432929214929215</v>
      </c>
      <c r="M22" s="362">
        <f t="shared" si="12"/>
        <v>0</v>
      </c>
      <c r="N22" s="1053">
        <f t="shared" si="12"/>
        <v>0</v>
      </c>
      <c r="O22" s="145">
        <f t="shared" si="12"/>
        <v>0</v>
      </c>
      <c r="P22" s="1050">
        <f t="shared" si="12"/>
        <v>0</v>
      </c>
    </row>
    <row r="23" spans="2:16" s="1" customFormat="1" x14ac:dyDescent="0.25">
      <c r="B23" s="499" t="s">
        <v>131</v>
      </c>
      <c r="C23" s="524" t="s">
        <v>33</v>
      </c>
      <c r="D23" s="1049">
        <f t="shared" si="1"/>
        <v>17.045578350246352</v>
      </c>
      <c r="E23" s="1050">
        <f>SUM(E24:E25)</f>
        <v>0</v>
      </c>
      <c r="F23" s="1050">
        <f t="shared" si="2"/>
        <v>4.2460713904050618</v>
      </c>
      <c r="G23" s="147">
        <f>SUM(G24:G25)</f>
        <v>3.1152278288949002</v>
      </c>
      <c r="H23" s="148">
        <f>SUM(H24:H25)</f>
        <v>0</v>
      </c>
      <c r="I23" s="149">
        <f>SUM(I24:I25)</f>
        <v>1.1308435615101613</v>
      </c>
      <c r="J23" s="146">
        <f t="shared" si="3"/>
        <v>7.2836200146560328</v>
      </c>
      <c r="K23" s="147">
        <f t="shared" ref="K23:P23" si="13">SUM(K24:K25)</f>
        <v>0</v>
      </c>
      <c r="L23" s="148">
        <f t="shared" si="13"/>
        <v>7.2836200146560328</v>
      </c>
      <c r="M23" s="149">
        <f t="shared" si="13"/>
        <v>0</v>
      </c>
      <c r="N23" s="1051">
        <f t="shared" si="13"/>
        <v>0</v>
      </c>
      <c r="O23" s="145">
        <f t="shared" si="13"/>
        <v>3.1422689504858221</v>
      </c>
      <c r="P23" s="1050">
        <f t="shared" si="13"/>
        <v>2.3736179946994351</v>
      </c>
    </row>
    <row r="24" spans="2:16" s="1" customFormat="1" x14ac:dyDescent="0.25">
      <c r="B24" s="509" t="s">
        <v>133</v>
      </c>
      <c r="C24" s="525" t="s">
        <v>600</v>
      </c>
      <c r="D24" s="1049">
        <f t="shared" si="1"/>
        <v>0</v>
      </c>
      <c r="E24" s="1052">
        <f>SUM(E47,E70,E109)</f>
        <v>0</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0</v>
      </c>
      <c r="P24" s="1060">
        <f t="shared" si="15"/>
        <v>0</v>
      </c>
    </row>
    <row r="25" spans="2:16" s="1" customFormat="1" ht="26.25" x14ac:dyDescent="0.25">
      <c r="B25" s="509" t="s">
        <v>135</v>
      </c>
      <c r="C25" s="535" t="s">
        <v>601</v>
      </c>
      <c r="D25" s="1049">
        <f t="shared" si="1"/>
        <v>17.045578350246352</v>
      </c>
      <c r="E25" s="1052">
        <f>SUM(E48,E71,E110)</f>
        <v>0</v>
      </c>
      <c r="F25" s="1054">
        <f t="shared" si="2"/>
        <v>4.2460713904050618</v>
      </c>
      <c r="G25" s="1055">
        <f t="shared" si="14"/>
        <v>3.1152278288949002</v>
      </c>
      <c r="H25" s="1056">
        <f t="shared" si="14"/>
        <v>0</v>
      </c>
      <c r="I25" s="1057">
        <f t="shared" si="14"/>
        <v>1.1308435615101613</v>
      </c>
      <c r="J25" s="142">
        <f t="shared" si="3"/>
        <v>7.2836200146560328</v>
      </c>
      <c r="K25" s="1055">
        <f t="shared" si="15"/>
        <v>0</v>
      </c>
      <c r="L25" s="1056">
        <f t="shared" si="15"/>
        <v>7.2836200146560328</v>
      </c>
      <c r="M25" s="1057">
        <f t="shared" si="15"/>
        <v>0</v>
      </c>
      <c r="N25" s="1058">
        <f t="shared" si="15"/>
        <v>0</v>
      </c>
      <c r="O25" s="1059">
        <f t="shared" si="15"/>
        <v>3.1422689504858221</v>
      </c>
      <c r="P25" s="1060">
        <f t="shared" si="15"/>
        <v>2.3736179946994351</v>
      </c>
    </row>
    <row r="26" spans="2:16" s="1" customFormat="1" x14ac:dyDescent="0.25">
      <c r="B26" s="499" t="s">
        <v>274</v>
      </c>
      <c r="C26" s="536" t="s">
        <v>39</v>
      </c>
      <c r="D26" s="1061">
        <f t="shared" si="1"/>
        <v>30.333839904825748</v>
      </c>
      <c r="E26" s="1062">
        <f>SUM(E27:E28)</f>
        <v>0</v>
      </c>
      <c r="F26" s="1062">
        <f t="shared" si="2"/>
        <v>14.845427724427315</v>
      </c>
      <c r="G26" s="1063">
        <f>SUM(G27:G28)</f>
        <v>0</v>
      </c>
      <c r="H26" s="1064">
        <f>SUM(H27:H28)</f>
        <v>0</v>
      </c>
      <c r="I26" s="1065">
        <f>SUM(I27:I28)</f>
        <v>14.845427724427315</v>
      </c>
      <c r="J26" s="1066">
        <f t="shared" si="3"/>
        <v>0</v>
      </c>
      <c r="K26" s="1063">
        <f t="shared" ref="K26:P26" si="16">SUM(K27:K28)</f>
        <v>0</v>
      </c>
      <c r="L26" s="1064">
        <f t="shared" si="16"/>
        <v>0</v>
      </c>
      <c r="M26" s="1065">
        <f t="shared" si="16"/>
        <v>0</v>
      </c>
      <c r="N26" s="1067">
        <f t="shared" si="16"/>
        <v>0</v>
      </c>
      <c r="O26" s="1068">
        <f t="shared" si="16"/>
        <v>6.7623425845717859</v>
      </c>
      <c r="P26" s="1062">
        <f t="shared" si="16"/>
        <v>8.7260695958266474</v>
      </c>
    </row>
    <row r="27" spans="2:16" s="1" customFormat="1" x14ac:dyDescent="0.25">
      <c r="B27" s="1069" t="s">
        <v>276</v>
      </c>
      <c r="C27" s="545" t="s">
        <v>41</v>
      </c>
      <c r="D27" s="1070">
        <f t="shared" si="1"/>
        <v>4.8154288761904773</v>
      </c>
      <c r="E27" s="1052">
        <f>SUM(E50,E73,E112)</f>
        <v>0</v>
      </c>
      <c r="F27" s="1071">
        <f t="shared" si="2"/>
        <v>0</v>
      </c>
      <c r="G27" s="1072">
        <f t="shared" ref="G27:I28" si="17">SUM(G50,G73,G112)</f>
        <v>0</v>
      </c>
      <c r="H27" s="1073">
        <f t="shared" si="17"/>
        <v>0</v>
      </c>
      <c r="I27" s="1074">
        <f t="shared" si="17"/>
        <v>0</v>
      </c>
      <c r="J27" s="293">
        <f t="shared" si="3"/>
        <v>0</v>
      </c>
      <c r="K27" s="1072">
        <f t="shared" ref="K27:P28" si="18">SUM(K50,K73,K112)</f>
        <v>0</v>
      </c>
      <c r="L27" s="1073">
        <f t="shared" si="18"/>
        <v>0</v>
      </c>
      <c r="M27" s="1074">
        <f t="shared" si="18"/>
        <v>0</v>
      </c>
      <c r="N27" s="1075">
        <f t="shared" si="18"/>
        <v>0</v>
      </c>
      <c r="O27" s="1076">
        <f t="shared" si="18"/>
        <v>0</v>
      </c>
      <c r="P27" s="1077">
        <f t="shared" si="18"/>
        <v>4.8154288761904773</v>
      </c>
    </row>
    <row r="28" spans="2:16" s="1" customFormat="1" ht="26.25" x14ac:dyDescent="0.25">
      <c r="B28" s="1069" t="s">
        <v>278</v>
      </c>
      <c r="C28" s="552" t="s">
        <v>43</v>
      </c>
      <c r="D28" s="1061">
        <f t="shared" si="1"/>
        <v>25.518411028635271</v>
      </c>
      <c r="E28" s="1052">
        <f>SUM(E51,E74,E113)</f>
        <v>0</v>
      </c>
      <c r="F28" s="1062">
        <f t="shared" si="2"/>
        <v>14.845427724427315</v>
      </c>
      <c r="G28" s="409">
        <f t="shared" si="17"/>
        <v>0</v>
      </c>
      <c r="H28" s="410">
        <f t="shared" si="17"/>
        <v>0</v>
      </c>
      <c r="I28" s="411">
        <f t="shared" si="17"/>
        <v>14.845427724427315</v>
      </c>
      <c r="J28" s="1066">
        <f t="shared" si="3"/>
        <v>0</v>
      </c>
      <c r="K28" s="409">
        <f t="shared" si="18"/>
        <v>0</v>
      </c>
      <c r="L28" s="410">
        <f t="shared" si="18"/>
        <v>0</v>
      </c>
      <c r="M28" s="411">
        <f t="shared" si="18"/>
        <v>0</v>
      </c>
      <c r="N28" s="1078">
        <f t="shared" si="18"/>
        <v>0</v>
      </c>
      <c r="O28" s="413">
        <f t="shared" si="18"/>
        <v>6.7623425845717859</v>
      </c>
      <c r="P28" s="1079">
        <f t="shared" si="18"/>
        <v>3.9106407196361692</v>
      </c>
    </row>
    <row r="29" spans="2:16" s="1" customFormat="1" x14ac:dyDescent="0.25">
      <c r="B29" s="1080" t="s">
        <v>282</v>
      </c>
      <c r="C29" s="556" t="s">
        <v>602</v>
      </c>
      <c r="D29" s="1061">
        <f t="shared" si="1"/>
        <v>0</v>
      </c>
      <c r="E29" s="1062">
        <f>SUM(E30:E32)</f>
        <v>0</v>
      </c>
      <c r="F29" s="1062">
        <f t="shared" si="2"/>
        <v>0</v>
      </c>
      <c r="G29" s="1063">
        <f>SUM(G30:G32)</f>
        <v>0</v>
      </c>
      <c r="H29" s="1064">
        <f>SUM(H30:H32)</f>
        <v>0</v>
      </c>
      <c r="I29" s="1065">
        <f>SUM(I30:I32)</f>
        <v>0</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603</v>
      </c>
      <c r="D30" s="1061">
        <f t="shared" si="1"/>
        <v>0</v>
      </c>
      <c r="E30" s="1079">
        <f>SUM(E53,E76,E115)</f>
        <v>0</v>
      </c>
      <c r="F30" s="1062">
        <f t="shared" si="2"/>
        <v>0</v>
      </c>
      <c r="G30" s="409">
        <f t="shared" ref="G30:I32" si="20">SUM(G53,G76,G115)</f>
        <v>0</v>
      </c>
      <c r="H30" s="410">
        <f t="shared" si="20"/>
        <v>0</v>
      </c>
      <c r="I30" s="411">
        <f t="shared" si="20"/>
        <v>0</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2316.24764843804</v>
      </c>
      <c r="E33" s="1042">
        <f t="shared" ref="E33:P33" si="22">E34+E38+E43+E46+E49+E52</f>
        <v>0</v>
      </c>
      <c r="F33" s="1042">
        <f t="shared" si="22"/>
        <v>777.03870268621904</v>
      </c>
      <c r="G33" s="1043">
        <f t="shared" si="22"/>
        <v>123.74744948891234</v>
      </c>
      <c r="H33" s="1044">
        <f t="shared" si="22"/>
        <v>42.730287086010243</v>
      </c>
      <c r="I33" s="1045">
        <f t="shared" si="22"/>
        <v>610.56096611129635</v>
      </c>
      <c r="J33" s="1046">
        <f t="shared" si="22"/>
        <v>954.97727532539034</v>
      </c>
      <c r="K33" s="1043">
        <f t="shared" si="22"/>
        <v>818.27287339047268</v>
      </c>
      <c r="L33" s="1044">
        <f t="shared" si="22"/>
        <v>135.61709067194192</v>
      </c>
      <c r="M33" s="1045">
        <f t="shared" si="22"/>
        <v>1.0873112629757784</v>
      </c>
      <c r="N33" s="1047">
        <f t="shared" si="22"/>
        <v>0</v>
      </c>
      <c r="O33" s="1048">
        <f t="shared" si="22"/>
        <v>564.65092084916955</v>
      </c>
      <c r="P33" s="1042">
        <f t="shared" si="22"/>
        <v>19.580749577260853</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2086.5773277077051</v>
      </c>
      <c r="E38" s="1050">
        <f>SUM(E39:E42)</f>
        <v>0</v>
      </c>
      <c r="F38" s="1050">
        <f t="shared" si="23"/>
        <v>756.86913844542107</v>
      </c>
      <c r="G38" s="147">
        <f>SUM(G39:G42)</f>
        <v>119.95313406105845</v>
      </c>
      <c r="H38" s="148">
        <f>SUM(H39:H42)</f>
        <v>42.067204103554104</v>
      </c>
      <c r="I38" s="149">
        <f>SUM(I39:I42)</f>
        <v>594.84880028080852</v>
      </c>
      <c r="J38" s="146">
        <f t="shared" si="24"/>
        <v>946.02023501850704</v>
      </c>
      <c r="K38" s="147">
        <f t="shared" ref="K38:P38" si="26">SUM(K39:K42)</f>
        <v>816.6071400571393</v>
      </c>
      <c r="L38" s="148">
        <f t="shared" si="26"/>
        <v>128.325783698392</v>
      </c>
      <c r="M38" s="149">
        <f t="shared" si="26"/>
        <v>1.0873112629757784</v>
      </c>
      <c r="N38" s="1051">
        <f t="shared" si="26"/>
        <v>0</v>
      </c>
      <c r="O38" s="145">
        <f t="shared" si="26"/>
        <v>374.57663512710997</v>
      </c>
      <c r="P38" s="1050">
        <f t="shared" si="26"/>
        <v>9.1113191166666656</v>
      </c>
    </row>
    <row r="39" spans="2:16" s="1" customFormat="1" x14ac:dyDescent="0.25">
      <c r="B39" s="509" t="s">
        <v>143</v>
      </c>
      <c r="C39" s="510" t="s">
        <v>17</v>
      </c>
      <c r="D39" s="1049">
        <f t="shared" si="1"/>
        <v>209.69810752538407</v>
      </c>
      <c r="E39" s="1093">
        <v>0</v>
      </c>
      <c r="F39" s="1050">
        <f t="shared" si="23"/>
        <v>43.775914361486031</v>
      </c>
      <c r="G39" s="309">
        <v>18.222790257931926</v>
      </c>
      <c r="H39" s="310">
        <v>25.553124103554104</v>
      </c>
      <c r="I39" s="311">
        <v>0</v>
      </c>
      <c r="J39" s="146">
        <f t="shared" si="24"/>
        <v>146.43372043315122</v>
      </c>
      <c r="K39" s="309">
        <v>72.802193766666647</v>
      </c>
      <c r="L39" s="310">
        <v>72.544215403508773</v>
      </c>
      <c r="M39" s="311">
        <v>1.0873112629757784</v>
      </c>
      <c r="N39" s="572">
        <v>0</v>
      </c>
      <c r="O39" s="1094">
        <v>10.377153614080164</v>
      </c>
      <c r="P39" s="1095">
        <v>9.1113191166666656</v>
      </c>
    </row>
    <row r="40" spans="2:16" s="1" customFormat="1" x14ac:dyDescent="0.25">
      <c r="B40" s="509" t="s">
        <v>145</v>
      </c>
      <c r="C40" s="510" t="s">
        <v>597</v>
      </c>
      <c r="D40" s="1049">
        <f t="shared" si="1"/>
        <v>16.705638867451903</v>
      </c>
      <c r="E40" s="1093">
        <v>0</v>
      </c>
      <c r="F40" s="1050">
        <f t="shared" si="23"/>
        <v>13.802622702598512</v>
      </c>
      <c r="G40" s="309">
        <v>13.802622702598512</v>
      </c>
      <c r="H40" s="310">
        <v>0</v>
      </c>
      <c r="I40" s="311">
        <v>0</v>
      </c>
      <c r="J40" s="146">
        <f t="shared" si="24"/>
        <v>1.2426413145539907</v>
      </c>
      <c r="K40" s="309">
        <v>0</v>
      </c>
      <c r="L40" s="310">
        <v>1.2426413145539907</v>
      </c>
      <c r="M40" s="311">
        <v>0</v>
      </c>
      <c r="N40" s="572">
        <v>0</v>
      </c>
      <c r="O40" s="1094">
        <v>1.6603748502994014</v>
      </c>
      <c r="P40" s="1095">
        <v>0</v>
      </c>
    </row>
    <row r="41" spans="2:16" s="1" customFormat="1" x14ac:dyDescent="0.25">
      <c r="B41" s="509" t="s">
        <v>608</v>
      </c>
      <c r="C41" s="510" t="s">
        <v>23</v>
      </c>
      <c r="D41" s="1049">
        <f t="shared" si="1"/>
        <v>1541.7775235661215</v>
      </c>
      <c r="E41" s="1093">
        <v>0</v>
      </c>
      <c r="F41" s="1050">
        <f t="shared" si="23"/>
        <v>493.40071177258505</v>
      </c>
      <c r="G41" s="309">
        <v>0</v>
      </c>
      <c r="H41" s="310">
        <v>0</v>
      </c>
      <c r="I41" s="311">
        <v>493.40071177258505</v>
      </c>
      <c r="J41" s="146">
        <f t="shared" si="24"/>
        <v>685.83770513080617</v>
      </c>
      <c r="K41" s="309">
        <v>685.83770513080617</v>
      </c>
      <c r="L41" s="310">
        <v>0</v>
      </c>
      <c r="M41" s="311">
        <v>0</v>
      </c>
      <c r="N41" s="572">
        <v>0</v>
      </c>
      <c r="O41" s="1094">
        <v>362.53910666273038</v>
      </c>
      <c r="P41" s="1095">
        <v>0</v>
      </c>
    </row>
    <row r="42" spans="2:16" s="1" customFormat="1" ht="38.25" x14ac:dyDescent="0.25">
      <c r="B42" s="509" t="s">
        <v>609</v>
      </c>
      <c r="C42" s="510" t="s">
        <v>599</v>
      </c>
      <c r="D42" s="1049">
        <f t="shared" si="1"/>
        <v>318.39605774874724</v>
      </c>
      <c r="E42" s="1093">
        <v>0</v>
      </c>
      <c r="F42" s="1050">
        <f t="shared" si="23"/>
        <v>205.8898896087515</v>
      </c>
      <c r="G42" s="309">
        <v>87.927721100528018</v>
      </c>
      <c r="H42" s="310">
        <v>16.51408</v>
      </c>
      <c r="I42" s="311">
        <v>101.44808850822348</v>
      </c>
      <c r="J42" s="146">
        <f t="shared" si="24"/>
        <v>112.50616813999576</v>
      </c>
      <c r="K42" s="309">
        <v>57.967241159666528</v>
      </c>
      <c r="L42" s="310">
        <v>54.538926980329229</v>
      </c>
      <c r="M42" s="311">
        <v>0</v>
      </c>
      <c r="N42" s="572">
        <v>0</v>
      </c>
      <c r="O42" s="1094">
        <v>0</v>
      </c>
      <c r="P42" s="1095">
        <v>0</v>
      </c>
    </row>
    <row r="43" spans="2:16" s="1" customFormat="1" x14ac:dyDescent="0.25">
      <c r="B43" s="499" t="s">
        <v>302</v>
      </c>
      <c r="C43" s="524" t="s">
        <v>27</v>
      </c>
      <c r="D43" s="1049">
        <f t="shared" si="1"/>
        <v>186.34775626624381</v>
      </c>
      <c r="E43" s="1050">
        <f>SUM(E44:E45)</f>
        <v>0</v>
      </c>
      <c r="F43" s="1050">
        <f t="shared" si="23"/>
        <v>2.0697236157894747</v>
      </c>
      <c r="G43" s="147">
        <f>SUM(G44:G45)</f>
        <v>1.4066406333333341</v>
      </c>
      <c r="H43" s="148">
        <f>SUM(H44:H45)</f>
        <v>0.66308298245614061</v>
      </c>
      <c r="I43" s="149">
        <f>SUM(I44:I45)</f>
        <v>0</v>
      </c>
      <c r="J43" s="146">
        <f t="shared" si="24"/>
        <v>3.3744900482625484</v>
      </c>
      <c r="K43" s="147">
        <f t="shared" ref="K43:P43" si="27">SUM(K44:K45)</f>
        <v>1.6657333333333333</v>
      </c>
      <c r="L43" s="148">
        <f t="shared" si="27"/>
        <v>1.7087567149292151</v>
      </c>
      <c r="M43" s="149">
        <f t="shared" si="27"/>
        <v>0</v>
      </c>
      <c r="N43" s="1051">
        <f t="shared" si="27"/>
        <v>0</v>
      </c>
      <c r="O43" s="145">
        <f t="shared" si="27"/>
        <v>180.90354260219178</v>
      </c>
      <c r="P43" s="1050">
        <f t="shared" si="27"/>
        <v>0</v>
      </c>
    </row>
    <row r="44" spans="2:16" s="1" customFormat="1" ht="51.75" x14ac:dyDescent="0.25">
      <c r="B44" s="509" t="s">
        <v>304</v>
      </c>
      <c r="C44" s="525" t="s">
        <v>29</v>
      </c>
      <c r="D44" s="1049">
        <f t="shared" si="1"/>
        <v>184.45749371798127</v>
      </c>
      <c r="E44" s="1093">
        <v>0</v>
      </c>
      <c r="F44" s="1050">
        <f t="shared" si="23"/>
        <v>2.0697236157894747</v>
      </c>
      <c r="G44" s="309">
        <v>1.4066406333333341</v>
      </c>
      <c r="H44" s="310">
        <v>0.66308298245614061</v>
      </c>
      <c r="I44" s="311">
        <v>0</v>
      </c>
      <c r="J44" s="146">
        <f t="shared" si="24"/>
        <v>1.4842275000000003</v>
      </c>
      <c r="K44" s="309">
        <v>1.2084000000000001</v>
      </c>
      <c r="L44" s="310">
        <v>0.2758275</v>
      </c>
      <c r="M44" s="311">
        <v>0</v>
      </c>
      <c r="N44" s="572">
        <v>0</v>
      </c>
      <c r="O44" s="1094">
        <v>180.90354260219178</v>
      </c>
      <c r="P44" s="1095">
        <v>0</v>
      </c>
    </row>
    <row r="45" spans="2:16" s="1" customFormat="1" x14ac:dyDescent="0.25">
      <c r="B45" s="509" t="s">
        <v>305</v>
      </c>
      <c r="C45" s="525" t="s">
        <v>31</v>
      </c>
      <c r="D45" s="1049">
        <f t="shared" si="1"/>
        <v>1.8902625482625481</v>
      </c>
      <c r="E45" s="1093">
        <v>0</v>
      </c>
      <c r="F45" s="1050">
        <f t="shared" si="23"/>
        <v>0</v>
      </c>
      <c r="G45" s="309">
        <v>0</v>
      </c>
      <c r="H45" s="310">
        <v>0</v>
      </c>
      <c r="I45" s="311">
        <v>0</v>
      </c>
      <c r="J45" s="146">
        <f t="shared" si="24"/>
        <v>1.8902625482625481</v>
      </c>
      <c r="K45" s="309">
        <v>0.45733333333333326</v>
      </c>
      <c r="L45" s="310">
        <v>1.432929214929215</v>
      </c>
      <c r="M45" s="311">
        <v>0</v>
      </c>
      <c r="N45" s="572">
        <v>0</v>
      </c>
      <c r="O45" s="1094">
        <v>0</v>
      </c>
      <c r="P45" s="1095">
        <v>0</v>
      </c>
    </row>
    <row r="46" spans="2:16" s="1" customFormat="1" x14ac:dyDescent="0.25">
      <c r="B46" s="499" t="s">
        <v>307</v>
      </c>
      <c r="C46" s="524" t="s">
        <v>33</v>
      </c>
      <c r="D46" s="1049">
        <f t="shared" si="1"/>
        <v>13.064629625932072</v>
      </c>
      <c r="E46" s="1050">
        <f>SUM(E47:E48)</f>
        <v>0</v>
      </c>
      <c r="F46" s="1050">
        <f t="shared" si="23"/>
        <v>3.254412900581154</v>
      </c>
      <c r="G46" s="147">
        <f>SUM(G47:G48)</f>
        <v>2.3876747945205481</v>
      </c>
      <c r="H46" s="148">
        <f>SUM(H47:H48)</f>
        <v>0</v>
      </c>
      <c r="I46" s="149">
        <f>SUM(I47:I48)</f>
        <v>0.86673810606060597</v>
      </c>
      <c r="J46" s="146">
        <f t="shared" si="24"/>
        <v>5.5825502586206897</v>
      </c>
      <c r="K46" s="147">
        <f t="shared" ref="K46:P46" si="28">SUM(K47:K48)</f>
        <v>0</v>
      </c>
      <c r="L46" s="148">
        <f t="shared" si="28"/>
        <v>5.5825502586206897</v>
      </c>
      <c r="M46" s="149">
        <f t="shared" si="28"/>
        <v>0</v>
      </c>
      <c r="N46" s="1051">
        <f t="shared" si="28"/>
        <v>0</v>
      </c>
      <c r="O46" s="145">
        <f t="shared" si="28"/>
        <v>2.4084005352960194</v>
      </c>
      <c r="P46" s="1050">
        <f t="shared" si="28"/>
        <v>1.819265931434209</v>
      </c>
    </row>
    <row r="47" spans="2:16" s="1" customFormat="1" x14ac:dyDescent="0.25">
      <c r="B47" s="509" t="s">
        <v>308</v>
      </c>
      <c r="C47" s="525" t="s">
        <v>600</v>
      </c>
      <c r="D47" s="1049">
        <f t="shared" si="1"/>
        <v>0</v>
      </c>
      <c r="E47" s="1093">
        <v>0</v>
      </c>
      <c r="F47" s="1050">
        <f t="shared" si="23"/>
        <v>0</v>
      </c>
      <c r="G47" s="309">
        <v>0</v>
      </c>
      <c r="H47" s="310">
        <v>0</v>
      </c>
      <c r="I47" s="311">
        <v>0</v>
      </c>
      <c r="J47" s="146">
        <f t="shared" si="24"/>
        <v>0</v>
      </c>
      <c r="K47" s="309">
        <v>0</v>
      </c>
      <c r="L47" s="310">
        <v>0</v>
      </c>
      <c r="M47" s="311">
        <v>0</v>
      </c>
      <c r="N47" s="572">
        <v>0</v>
      </c>
      <c r="O47" s="1094">
        <v>0</v>
      </c>
      <c r="P47" s="1095">
        <v>0</v>
      </c>
    </row>
    <row r="48" spans="2:16" s="1" customFormat="1" ht="26.25" x14ac:dyDescent="0.25">
      <c r="B48" s="509" t="s">
        <v>308</v>
      </c>
      <c r="C48" s="581" t="s">
        <v>601</v>
      </c>
      <c r="D48" s="1049">
        <f t="shared" si="1"/>
        <v>13.064629625932072</v>
      </c>
      <c r="E48" s="1093">
        <v>0</v>
      </c>
      <c r="F48" s="1050">
        <f t="shared" si="23"/>
        <v>3.254412900581154</v>
      </c>
      <c r="G48" s="309">
        <v>2.3876747945205481</v>
      </c>
      <c r="H48" s="310">
        <v>0</v>
      </c>
      <c r="I48" s="311">
        <v>0.86673810606060597</v>
      </c>
      <c r="J48" s="146">
        <f t="shared" si="24"/>
        <v>5.5825502586206897</v>
      </c>
      <c r="K48" s="309">
        <v>0</v>
      </c>
      <c r="L48" s="310">
        <v>5.5825502586206897</v>
      </c>
      <c r="M48" s="311">
        <v>0</v>
      </c>
      <c r="N48" s="572">
        <v>0</v>
      </c>
      <c r="O48" s="1094">
        <v>2.4084005352960194</v>
      </c>
      <c r="P48" s="1095">
        <v>1.819265931434209</v>
      </c>
    </row>
    <row r="49" spans="2:17" s="1" customFormat="1" x14ac:dyDescent="0.25">
      <c r="B49" s="499" t="s">
        <v>312</v>
      </c>
      <c r="C49" s="536" t="s">
        <v>39</v>
      </c>
      <c r="D49" s="1061">
        <f t="shared" si="1"/>
        <v>30.25793483815908</v>
      </c>
      <c r="E49" s="1062">
        <f>SUM(E50:E51)</f>
        <v>0</v>
      </c>
      <c r="F49" s="1062">
        <f t="shared" si="23"/>
        <v>14.845427724427315</v>
      </c>
      <c r="G49" s="1063">
        <f>SUM(G50:G51)</f>
        <v>0</v>
      </c>
      <c r="H49" s="1064">
        <f>SUM(H50:H51)</f>
        <v>0</v>
      </c>
      <c r="I49" s="1065">
        <f>SUM(I50:I51)</f>
        <v>14.845427724427315</v>
      </c>
      <c r="J49" s="1066">
        <f t="shared" si="24"/>
        <v>0</v>
      </c>
      <c r="K49" s="1063">
        <f t="shared" ref="K49:P49" si="29">SUM(K50:K51)</f>
        <v>0</v>
      </c>
      <c r="L49" s="1064">
        <f t="shared" si="29"/>
        <v>0</v>
      </c>
      <c r="M49" s="1065">
        <f t="shared" si="29"/>
        <v>0</v>
      </c>
      <c r="N49" s="1067">
        <f t="shared" si="29"/>
        <v>0</v>
      </c>
      <c r="O49" s="1068">
        <f t="shared" si="29"/>
        <v>6.7623425845717859</v>
      </c>
      <c r="P49" s="1062">
        <f t="shared" si="29"/>
        <v>8.65016452915998</v>
      </c>
    </row>
    <row r="50" spans="2:17" s="1" customFormat="1" x14ac:dyDescent="0.25">
      <c r="B50" s="1069" t="s">
        <v>314</v>
      </c>
      <c r="C50" s="545" t="s">
        <v>41</v>
      </c>
      <c r="D50" s="1070">
        <f t="shared" si="1"/>
        <v>4.7395238095238099</v>
      </c>
      <c r="E50" s="1093">
        <v>0</v>
      </c>
      <c r="F50" s="1050">
        <f t="shared" si="23"/>
        <v>0</v>
      </c>
      <c r="G50" s="309">
        <v>0</v>
      </c>
      <c r="H50" s="310">
        <v>0</v>
      </c>
      <c r="I50" s="311">
        <v>0</v>
      </c>
      <c r="J50" s="1066">
        <f t="shared" si="24"/>
        <v>0</v>
      </c>
      <c r="K50" s="309">
        <v>0</v>
      </c>
      <c r="L50" s="310">
        <v>0</v>
      </c>
      <c r="M50" s="311">
        <v>0</v>
      </c>
      <c r="N50" s="572">
        <v>0</v>
      </c>
      <c r="O50" s="1094">
        <v>0</v>
      </c>
      <c r="P50" s="1095">
        <v>4.7395238095238099</v>
      </c>
    </row>
    <row r="51" spans="2:17" s="1" customFormat="1" ht="26.25" x14ac:dyDescent="0.25">
      <c r="B51" s="1069" t="s">
        <v>316</v>
      </c>
      <c r="C51" s="552" t="s">
        <v>43</v>
      </c>
      <c r="D51" s="1061">
        <f t="shared" si="1"/>
        <v>25.518411028635271</v>
      </c>
      <c r="E51" s="1093">
        <v>0</v>
      </c>
      <c r="F51" s="1050">
        <f t="shared" si="23"/>
        <v>14.845427724427315</v>
      </c>
      <c r="G51" s="309">
        <v>0</v>
      </c>
      <c r="H51" s="310">
        <v>0</v>
      </c>
      <c r="I51" s="311">
        <v>14.845427724427315</v>
      </c>
      <c r="J51" s="1066">
        <f t="shared" si="24"/>
        <v>0</v>
      </c>
      <c r="K51" s="309">
        <v>0</v>
      </c>
      <c r="L51" s="310">
        <v>0</v>
      </c>
      <c r="M51" s="311">
        <v>0</v>
      </c>
      <c r="N51" s="572">
        <v>0</v>
      </c>
      <c r="O51" s="1094">
        <v>6.7623425845717859</v>
      </c>
      <c r="P51" s="1095">
        <v>3.9106407196361692</v>
      </c>
    </row>
    <row r="52" spans="2:17" s="1" customFormat="1" x14ac:dyDescent="0.25">
      <c r="B52" s="1080" t="s">
        <v>318</v>
      </c>
      <c r="C52" s="556" t="s">
        <v>602</v>
      </c>
      <c r="D52" s="1061">
        <f t="shared" si="1"/>
        <v>0</v>
      </c>
      <c r="E52" s="1062">
        <f>SUM(E53:E55)</f>
        <v>0</v>
      </c>
      <c r="F52" s="1062">
        <f t="shared" si="23"/>
        <v>0</v>
      </c>
      <c r="G52" s="1063">
        <f>SUM(G53:G55)</f>
        <v>0</v>
      </c>
      <c r="H52" s="1064">
        <f>SUM(H53:H55)</f>
        <v>0</v>
      </c>
      <c r="I52" s="1065">
        <f>SUM(I53:I55)</f>
        <v>0</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603</v>
      </c>
      <c r="D53" s="1061">
        <f t="shared" si="1"/>
        <v>0</v>
      </c>
      <c r="E53" s="1093">
        <v>0</v>
      </c>
      <c r="F53" s="1050">
        <f t="shared" si="23"/>
        <v>0</v>
      </c>
      <c r="G53" s="309">
        <v>0</v>
      </c>
      <c r="H53" s="310">
        <v>0</v>
      </c>
      <c r="I53" s="311">
        <v>0</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0</v>
      </c>
      <c r="E56" s="1042">
        <f t="shared" si="31"/>
        <v>0</v>
      </c>
      <c r="F56" s="1042">
        <f t="shared" si="31"/>
        <v>0</v>
      </c>
      <c r="G56" s="1043">
        <f t="shared" si="31"/>
        <v>0</v>
      </c>
      <c r="H56" s="1044">
        <f t="shared" si="31"/>
        <v>0</v>
      </c>
      <c r="I56" s="1045">
        <f t="shared" si="31"/>
        <v>0</v>
      </c>
      <c r="J56" s="1046">
        <f t="shared" si="31"/>
        <v>0</v>
      </c>
      <c r="K56" s="1043">
        <f t="shared" si="31"/>
        <v>0</v>
      </c>
      <c r="L56" s="1044">
        <f t="shared" si="31"/>
        <v>0</v>
      </c>
      <c r="M56" s="1045">
        <f t="shared" si="31"/>
        <v>0</v>
      </c>
      <c r="N56" s="1047">
        <f t="shared" si="31"/>
        <v>0</v>
      </c>
      <c r="O56" s="1048">
        <f t="shared" si="31"/>
        <v>0</v>
      </c>
      <c r="P56" s="1042">
        <f t="shared" si="31"/>
        <v>0</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v>0</v>
      </c>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0</v>
      </c>
      <c r="E61" s="1050">
        <f>SUM(E62:E65)</f>
        <v>0</v>
      </c>
      <c r="F61" s="1050">
        <f t="shared" si="32"/>
        <v>0</v>
      </c>
      <c r="G61" s="147">
        <f>SUM(G62:G65)</f>
        <v>0</v>
      </c>
      <c r="H61" s="148">
        <f>SUM(H62:H65)</f>
        <v>0</v>
      </c>
      <c r="I61" s="149">
        <f>SUM(I62:I65)</f>
        <v>0</v>
      </c>
      <c r="J61" s="146">
        <f t="shared" si="33"/>
        <v>0</v>
      </c>
      <c r="K61" s="147">
        <f t="shared" ref="K61:P61" si="37">SUM(K62:K65)</f>
        <v>0</v>
      </c>
      <c r="L61" s="148">
        <f t="shared" si="37"/>
        <v>0</v>
      </c>
      <c r="M61" s="149">
        <f t="shared" si="37"/>
        <v>0</v>
      </c>
      <c r="N61" s="1051">
        <f t="shared" si="37"/>
        <v>0</v>
      </c>
      <c r="O61" s="145">
        <f t="shared" si="37"/>
        <v>0</v>
      </c>
      <c r="P61" s="1050">
        <f t="shared" si="37"/>
        <v>0</v>
      </c>
    </row>
    <row r="62" spans="2:17" s="1" customFormat="1" x14ac:dyDescent="0.25">
      <c r="B62" s="509" t="s">
        <v>154</v>
      </c>
      <c r="C62" s="510" t="s">
        <v>17</v>
      </c>
      <c r="D62" s="603">
        <v>0</v>
      </c>
      <c r="E62" s="1052">
        <f>IFERROR($D62*E83/100, 0)</f>
        <v>0</v>
      </c>
      <c r="F62" s="1052">
        <f t="shared" si="32"/>
        <v>0</v>
      </c>
      <c r="G62" s="360">
        <f t="shared" ref="G62:I65" si="38">IFERROR($D62*G83/100, 0)</f>
        <v>0</v>
      </c>
      <c r="H62" s="361">
        <f t="shared" si="38"/>
        <v>0</v>
      </c>
      <c r="I62" s="362">
        <f t="shared" si="38"/>
        <v>0</v>
      </c>
      <c r="J62" s="308">
        <f t="shared" si="33"/>
        <v>0</v>
      </c>
      <c r="K62" s="360">
        <f t="shared" ref="K62:P65" si="39">IFERROR($D62*K83/100, 0)</f>
        <v>0</v>
      </c>
      <c r="L62" s="361">
        <f t="shared" si="39"/>
        <v>0</v>
      </c>
      <c r="M62" s="362">
        <f t="shared" si="39"/>
        <v>0</v>
      </c>
      <c r="N62" s="1053">
        <f t="shared" si="39"/>
        <v>0</v>
      </c>
      <c r="O62" s="359">
        <f t="shared" si="39"/>
        <v>0</v>
      </c>
      <c r="P62" s="1052">
        <f t="shared" si="39"/>
        <v>0</v>
      </c>
    </row>
    <row r="63" spans="2:17" s="1" customFormat="1" x14ac:dyDescent="0.25">
      <c r="B63" s="509" t="s">
        <v>156</v>
      </c>
      <c r="C63" s="510" t="s">
        <v>597</v>
      </c>
      <c r="D63" s="603">
        <v>0</v>
      </c>
      <c r="E63" s="1052">
        <f>IFERROR($D63*E84/100, 0)</f>
        <v>0</v>
      </c>
      <c r="F63" s="1052">
        <f t="shared" si="32"/>
        <v>0</v>
      </c>
      <c r="G63" s="360">
        <f t="shared" si="38"/>
        <v>0</v>
      </c>
      <c r="H63" s="361">
        <f t="shared" si="38"/>
        <v>0</v>
      </c>
      <c r="I63" s="362">
        <f t="shared" si="38"/>
        <v>0</v>
      </c>
      <c r="J63" s="308">
        <f t="shared" si="33"/>
        <v>0</v>
      </c>
      <c r="K63" s="360">
        <f t="shared" si="39"/>
        <v>0</v>
      </c>
      <c r="L63" s="361">
        <f t="shared" si="39"/>
        <v>0</v>
      </c>
      <c r="M63" s="362">
        <f t="shared" si="39"/>
        <v>0</v>
      </c>
      <c r="N63" s="1053">
        <f t="shared" si="39"/>
        <v>0</v>
      </c>
      <c r="O63" s="359">
        <f t="shared" si="39"/>
        <v>0</v>
      </c>
      <c r="P63" s="1052">
        <f t="shared" si="39"/>
        <v>0</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0</v>
      </c>
      <c r="E65" s="1052">
        <f>IFERROR($D65*E86/100, 0)</f>
        <v>0</v>
      </c>
      <c r="F65" s="1052">
        <f t="shared" si="32"/>
        <v>0</v>
      </c>
      <c r="G65" s="360">
        <f t="shared" si="38"/>
        <v>0</v>
      </c>
      <c r="H65" s="361">
        <f t="shared" si="38"/>
        <v>0</v>
      </c>
      <c r="I65" s="362">
        <f t="shared" si="38"/>
        <v>0</v>
      </c>
      <c r="J65" s="308">
        <f t="shared" si="33"/>
        <v>0</v>
      </c>
      <c r="K65" s="360">
        <f t="shared" si="39"/>
        <v>0</v>
      </c>
      <c r="L65" s="361">
        <f t="shared" si="39"/>
        <v>0</v>
      </c>
      <c r="M65" s="362">
        <f t="shared" si="39"/>
        <v>0</v>
      </c>
      <c r="N65" s="1053">
        <f t="shared" si="39"/>
        <v>0</v>
      </c>
      <c r="O65" s="359">
        <f t="shared" si="39"/>
        <v>0</v>
      </c>
      <c r="P65" s="1052">
        <f t="shared" si="39"/>
        <v>0</v>
      </c>
    </row>
    <row r="66" spans="2:16" s="1" customFormat="1" x14ac:dyDescent="0.25">
      <c r="B66" s="499" t="s">
        <v>160</v>
      </c>
      <c r="C66" s="524" t="s">
        <v>27</v>
      </c>
      <c r="D66" s="1049">
        <f>D67+D68</f>
        <v>0</v>
      </c>
      <c r="E66" s="1050">
        <f>E67+E68</f>
        <v>0</v>
      </c>
      <c r="F66" s="1050">
        <f t="shared" si="32"/>
        <v>0</v>
      </c>
      <c r="G66" s="147">
        <f>G67+G68</f>
        <v>0</v>
      </c>
      <c r="H66" s="148">
        <f>H67+H68</f>
        <v>0</v>
      </c>
      <c r="I66" s="149">
        <f>I67+I68</f>
        <v>0</v>
      </c>
      <c r="J66" s="146">
        <f t="shared" si="33"/>
        <v>0</v>
      </c>
      <c r="K66" s="147">
        <f t="shared" ref="K66:P66" si="40">K67+K68</f>
        <v>0</v>
      </c>
      <c r="L66" s="148">
        <f t="shared" si="40"/>
        <v>0</v>
      </c>
      <c r="M66" s="149">
        <f t="shared" si="40"/>
        <v>0</v>
      </c>
      <c r="N66" s="1051">
        <f t="shared" si="40"/>
        <v>0</v>
      </c>
      <c r="O66" s="145">
        <f t="shared" si="40"/>
        <v>0</v>
      </c>
      <c r="P66" s="1050">
        <f t="shared" si="40"/>
        <v>0</v>
      </c>
    </row>
    <row r="67" spans="2:16" s="1" customFormat="1" ht="51.75" x14ac:dyDescent="0.25">
      <c r="B67" s="509" t="s">
        <v>412</v>
      </c>
      <c r="C67" s="525" t="s">
        <v>29</v>
      </c>
      <c r="D67" s="603">
        <v>0</v>
      </c>
      <c r="E67" s="1052">
        <f>IFERROR($D67*E87/100, 0)</f>
        <v>0</v>
      </c>
      <c r="F67" s="1052">
        <f t="shared" si="32"/>
        <v>0</v>
      </c>
      <c r="G67" s="360">
        <f t="shared" ref="G67:I68" si="41">IFERROR($D67*G87/100, 0)</f>
        <v>0</v>
      </c>
      <c r="H67" s="361">
        <f t="shared" si="41"/>
        <v>0</v>
      </c>
      <c r="I67" s="362">
        <f t="shared" si="41"/>
        <v>0</v>
      </c>
      <c r="J67" s="308">
        <f t="shared" si="33"/>
        <v>0</v>
      </c>
      <c r="K67" s="360">
        <f t="shared" ref="K67:P68" si="42">IFERROR($D67*K87/100, 0)</f>
        <v>0</v>
      </c>
      <c r="L67" s="361">
        <f t="shared" si="42"/>
        <v>0</v>
      </c>
      <c r="M67" s="362">
        <f t="shared" si="42"/>
        <v>0</v>
      </c>
      <c r="N67" s="1053">
        <f t="shared" si="42"/>
        <v>0</v>
      </c>
      <c r="O67" s="359">
        <f t="shared" si="42"/>
        <v>0</v>
      </c>
      <c r="P67" s="1052">
        <f t="shared" si="42"/>
        <v>0</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0</v>
      </c>
      <c r="E69" s="1050">
        <f>E70+E71</f>
        <v>0</v>
      </c>
      <c r="F69" s="1050">
        <f t="shared" si="32"/>
        <v>0</v>
      </c>
      <c r="G69" s="147">
        <f>G70+G71</f>
        <v>0</v>
      </c>
      <c r="H69" s="148">
        <f>H70+H71</f>
        <v>0</v>
      </c>
      <c r="I69" s="149">
        <f>I70+I71</f>
        <v>0</v>
      </c>
      <c r="J69" s="146">
        <f t="shared" si="33"/>
        <v>0</v>
      </c>
      <c r="K69" s="147">
        <f t="shared" ref="K69:P69" si="43">K70+K71</f>
        <v>0</v>
      </c>
      <c r="L69" s="148">
        <f t="shared" si="43"/>
        <v>0</v>
      </c>
      <c r="M69" s="149">
        <f t="shared" si="43"/>
        <v>0</v>
      </c>
      <c r="N69" s="1051">
        <f t="shared" si="43"/>
        <v>0</v>
      </c>
      <c r="O69" s="145">
        <f t="shared" si="43"/>
        <v>0</v>
      </c>
      <c r="P69" s="1050">
        <f t="shared" si="43"/>
        <v>0</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0</v>
      </c>
      <c r="E71" s="1052">
        <f>IFERROR($D71*E90/100, 0)</f>
        <v>0</v>
      </c>
      <c r="F71" s="1052">
        <f t="shared" si="32"/>
        <v>0</v>
      </c>
      <c r="G71" s="360">
        <f t="shared" si="44"/>
        <v>0</v>
      </c>
      <c r="H71" s="361">
        <f t="shared" si="44"/>
        <v>0</v>
      </c>
      <c r="I71" s="362">
        <f t="shared" si="44"/>
        <v>0</v>
      </c>
      <c r="J71" s="308">
        <f t="shared" si="33"/>
        <v>0</v>
      </c>
      <c r="K71" s="360">
        <f t="shared" si="45"/>
        <v>0</v>
      </c>
      <c r="L71" s="361">
        <f t="shared" si="45"/>
        <v>0</v>
      </c>
      <c r="M71" s="362">
        <f t="shared" si="45"/>
        <v>0</v>
      </c>
      <c r="N71" s="1053">
        <f t="shared" si="45"/>
        <v>0</v>
      </c>
      <c r="O71" s="359">
        <f t="shared" si="45"/>
        <v>0</v>
      </c>
      <c r="P71" s="1052">
        <f t="shared" si="45"/>
        <v>0</v>
      </c>
    </row>
    <row r="72" spans="2:16" s="1" customFormat="1" x14ac:dyDescent="0.25">
      <c r="B72" s="499" t="s">
        <v>418</v>
      </c>
      <c r="C72" s="536" t="s">
        <v>39</v>
      </c>
      <c r="D72" s="1061">
        <f>D73+D74</f>
        <v>0</v>
      </c>
      <c r="E72" s="1062">
        <f>E73+E74</f>
        <v>0</v>
      </c>
      <c r="F72" s="1062">
        <f t="shared" si="32"/>
        <v>0</v>
      </c>
      <c r="G72" s="1063">
        <f>G73+G74</f>
        <v>0</v>
      </c>
      <c r="H72" s="1064">
        <f>H73+H74</f>
        <v>0</v>
      </c>
      <c r="I72" s="1065">
        <f>I73+I74</f>
        <v>0</v>
      </c>
      <c r="J72" s="1066">
        <f t="shared" si="33"/>
        <v>0</v>
      </c>
      <c r="K72" s="1063">
        <f t="shared" ref="K72:P72" si="46">K73+K74</f>
        <v>0</v>
      </c>
      <c r="L72" s="1064">
        <f t="shared" si="46"/>
        <v>0</v>
      </c>
      <c r="M72" s="1065">
        <f t="shared" si="46"/>
        <v>0</v>
      </c>
      <c r="N72" s="1067">
        <f t="shared" si="46"/>
        <v>0</v>
      </c>
      <c r="O72" s="1068">
        <f t="shared" si="46"/>
        <v>0</v>
      </c>
      <c r="P72" s="1062">
        <f t="shared" si="46"/>
        <v>0</v>
      </c>
    </row>
    <row r="73" spans="2:16" s="1" customFormat="1" x14ac:dyDescent="0.25">
      <c r="B73" s="1069" t="s">
        <v>616</v>
      </c>
      <c r="C73" s="545" t="s">
        <v>41</v>
      </c>
      <c r="D73" s="608">
        <v>0</v>
      </c>
      <c r="E73" s="1052">
        <f>IFERROR($D73*E91/100, 0)</f>
        <v>0</v>
      </c>
      <c r="F73" s="1052">
        <f t="shared" si="32"/>
        <v>0</v>
      </c>
      <c r="G73" s="360">
        <f t="shared" ref="G73:I74" si="47">IFERROR($D73*G91/100, 0)</f>
        <v>0</v>
      </c>
      <c r="H73" s="361">
        <f t="shared" si="47"/>
        <v>0</v>
      </c>
      <c r="I73" s="362">
        <f t="shared" si="47"/>
        <v>0</v>
      </c>
      <c r="J73" s="308">
        <f t="shared" si="33"/>
        <v>0</v>
      </c>
      <c r="K73" s="360">
        <f t="shared" ref="K73:P74" si="48">IFERROR($D73*K91/100, 0)</f>
        <v>0</v>
      </c>
      <c r="L73" s="361">
        <f t="shared" si="48"/>
        <v>0</v>
      </c>
      <c r="M73" s="362">
        <f t="shared" si="48"/>
        <v>0</v>
      </c>
      <c r="N73" s="1053">
        <f t="shared" si="48"/>
        <v>0</v>
      </c>
      <c r="O73" s="359">
        <f t="shared" si="48"/>
        <v>0</v>
      </c>
      <c r="P73" s="1052">
        <f t="shared" si="48"/>
        <v>0</v>
      </c>
    </row>
    <row r="74" spans="2:16" s="1" customFormat="1" ht="26.25" x14ac:dyDescent="0.25">
      <c r="B74" s="1069" t="s">
        <v>617</v>
      </c>
      <c r="C74" s="552" t="s">
        <v>43</v>
      </c>
      <c r="D74" s="609">
        <v>0</v>
      </c>
      <c r="E74" s="1052">
        <f>IFERROR($D74*E92/100, 0)</f>
        <v>0</v>
      </c>
      <c r="F74" s="1052">
        <f t="shared" si="32"/>
        <v>0</v>
      </c>
      <c r="G74" s="360">
        <f t="shared" si="47"/>
        <v>0</v>
      </c>
      <c r="H74" s="361">
        <f t="shared" si="47"/>
        <v>0</v>
      </c>
      <c r="I74" s="362">
        <f t="shared" si="47"/>
        <v>0</v>
      </c>
      <c r="J74" s="308">
        <f t="shared" si="33"/>
        <v>0</v>
      </c>
      <c r="K74" s="360">
        <f t="shared" si="48"/>
        <v>0</v>
      </c>
      <c r="L74" s="361">
        <f t="shared" si="48"/>
        <v>0</v>
      </c>
      <c r="M74" s="362">
        <f t="shared" si="48"/>
        <v>0</v>
      </c>
      <c r="N74" s="1053">
        <f t="shared" si="48"/>
        <v>0</v>
      </c>
      <c r="O74" s="359">
        <f t="shared" si="48"/>
        <v>0</v>
      </c>
      <c r="P74" s="1052">
        <f t="shared" si="48"/>
        <v>0</v>
      </c>
    </row>
    <row r="75" spans="2:16" s="1" customFormat="1" x14ac:dyDescent="0.25">
      <c r="B75" s="1080" t="s">
        <v>419</v>
      </c>
      <c r="C75" s="556" t="s">
        <v>602</v>
      </c>
      <c r="D75" s="1061">
        <f>D76+D77+D78</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603</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0</v>
      </c>
      <c r="E80" s="1117">
        <v>0</v>
      </c>
      <c r="F80" s="633">
        <f t="shared" ref="F80:F95" si="53">SUM(G80:I80)</f>
        <v>0</v>
      </c>
      <c r="G80" s="634">
        <v>0</v>
      </c>
      <c r="H80" s="635">
        <v>0</v>
      </c>
      <c r="I80" s="637">
        <v>0</v>
      </c>
      <c r="J80" s="633">
        <f t="shared" ref="J80:J95" si="54">SUM(K80:M80)</f>
        <v>0</v>
      </c>
      <c r="K80" s="634">
        <v>0</v>
      </c>
      <c r="L80" s="635">
        <v>0</v>
      </c>
      <c r="M80" s="637">
        <v>0</v>
      </c>
      <c r="N80" s="638">
        <v>0</v>
      </c>
      <c r="O80" s="1118">
        <v>0</v>
      </c>
      <c r="P80" s="640">
        <v>0</v>
      </c>
    </row>
    <row r="81" spans="2:17" s="1" customFormat="1" x14ac:dyDescent="0.25">
      <c r="B81" s="380" t="s">
        <v>69</v>
      </c>
      <c r="C81" s="1119" t="s">
        <v>621</v>
      </c>
      <c r="D81" s="643">
        <f t="shared" si="52"/>
        <v>0</v>
      </c>
      <c r="E81" s="1120">
        <v>0</v>
      </c>
      <c r="F81" s="645">
        <f t="shared" si="53"/>
        <v>0</v>
      </c>
      <c r="G81" s="646">
        <v>0</v>
      </c>
      <c r="H81" s="647">
        <v>0</v>
      </c>
      <c r="I81" s="649">
        <v>0</v>
      </c>
      <c r="J81" s="645">
        <f t="shared" si="54"/>
        <v>0</v>
      </c>
      <c r="K81" s="646">
        <v>0</v>
      </c>
      <c r="L81" s="647">
        <v>0</v>
      </c>
      <c r="M81" s="649">
        <v>0</v>
      </c>
      <c r="N81" s="650">
        <v>0</v>
      </c>
      <c r="O81" s="1121">
        <v>0</v>
      </c>
      <c r="P81" s="652">
        <v>0</v>
      </c>
    </row>
    <row r="82" spans="2:17" s="1" customFormat="1" x14ac:dyDescent="0.25">
      <c r="B82" s="380" t="s">
        <v>71</v>
      </c>
      <c r="C82" s="1119" t="s">
        <v>622</v>
      </c>
      <c r="D82" s="643">
        <f t="shared" si="52"/>
        <v>0</v>
      </c>
      <c r="E82" s="1120">
        <v>0</v>
      </c>
      <c r="F82" s="645">
        <f t="shared" si="53"/>
        <v>0</v>
      </c>
      <c r="G82" s="646">
        <v>0</v>
      </c>
      <c r="H82" s="647">
        <v>0</v>
      </c>
      <c r="I82" s="649">
        <v>0</v>
      </c>
      <c r="J82" s="645">
        <f t="shared" si="54"/>
        <v>0</v>
      </c>
      <c r="K82" s="646">
        <v>0</v>
      </c>
      <c r="L82" s="647">
        <v>0</v>
      </c>
      <c r="M82" s="649">
        <v>0</v>
      </c>
      <c r="N82" s="650">
        <v>0</v>
      </c>
      <c r="O82" s="1121">
        <v>0</v>
      </c>
      <c r="P82" s="652">
        <v>0</v>
      </c>
    </row>
    <row r="83" spans="2:17" s="1" customFormat="1" x14ac:dyDescent="0.25">
      <c r="B83" s="382" t="s">
        <v>73</v>
      </c>
      <c r="C83" s="1119" t="s">
        <v>623</v>
      </c>
      <c r="D83" s="643">
        <f t="shared" si="52"/>
        <v>0</v>
      </c>
      <c r="E83" s="1120">
        <v>0</v>
      </c>
      <c r="F83" s="645">
        <f t="shared" si="53"/>
        <v>0</v>
      </c>
      <c r="G83" s="646">
        <v>0</v>
      </c>
      <c r="H83" s="647">
        <v>0</v>
      </c>
      <c r="I83" s="649">
        <v>0</v>
      </c>
      <c r="J83" s="645">
        <f t="shared" si="54"/>
        <v>0</v>
      </c>
      <c r="K83" s="646">
        <v>0</v>
      </c>
      <c r="L83" s="647">
        <v>0</v>
      </c>
      <c r="M83" s="649">
        <v>0</v>
      </c>
      <c r="N83" s="650">
        <v>0</v>
      </c>
      <c r="O83" s="1121">
        <v>0</v>
      </c>
      <c r="P83" s="652">
        <v>0</v>
      </c>
    </row>
    <row r="84" spans="2:17" s="1" customFormat="1" x14ac:dyDescent="0.25">
      <c r="B84" s="380" t="s">
        <v>75</v>
      </c>
      <c r="C84" s="1119" t="s">
        <v>624</v>
      </c>
      <c r="D84" s="643">
        <f t="shared" si="52"/>
        <v>0</v>
      </c>
      <c r="E84" s="1120">
        <v>0</v>
      </c>
      <c r="F84" s="645">
        <f t="shared" si="53"/>
        <v>0</v>
      </c>
      <c r="G84" s="646">
        <v>0</v>
      </c>
      <c r="H84" s="647">
        <v>0</v>
      </c>
      <c r="I84" s="649">
        <v>0</v>
      </c>
      <c r="J84" s="645">
        <f t="shared" si="54"/>
        <v>0</v>
      </c>
      <c r="K84" s="646">
        <v>0</v>
      </c>
      <c r="L84" s="647">
        <v>0</v>
      </c>
      <c r="M84" s="649">
        <v>0</v>
      </c>
      <c r="N84" s="650">
        <v>0</v>
      </c>
      <c r="O84" s="1121">
        <v>0</v>
      </c>
      <c r="P84" s="652">
        <v>0</v>
      </c>
    </row>
    <row r="85" spans="2:17" s="1" customFormat="1" x14ac:dyDescent="0.25">
      <c r="B85" s="380" t="s">
        <v>466</v>
      </c>
      <c r="C85" s="1119" t="s">
        <v>625</v>
      </c>
      <c r="D85" s="643">
        <f t="shared" si="52"/>
        <v>0</v>
      </c>
      <c r="E85" s="1120">
        <v>0</v>
      </c>
      <c r="F85" s="645">
        <f t="shared" si="53"/>
        <v>0</v>
      </c>
      <c r="G85" s="646">
        <v>0</v>
      </c>
      <c r="H85" s="647">
        <v>0</v>
      </c>
      <c r="I85" s="649">
        <v>0</v>
      </c>
      <c r="J85" s="645">
        <f t="shared" si="54"/>
        <v>0</v>
      </c>
      <c r="K85" s="646">
        <v>0</v>
      </c>
      <c r="L85" s="647">
        <v>0</v>
      </c>
      <c r="M85" s="649">
        <v>0</v>
      </c>
      <c r="N85" s="650">
        <v>0</v>
      </c>
      <c r="O85" s="1121">
        <v>0</v>
      </c>
      <c r="P85" s="652">
        <v>0</v>
      </c>
    </row>
    <row r="86" spans="2:17" s="1" customFormat="1" x14ac:dyDescent="0.25">
      <c r="B86" s="380" t="s">
        <v>470</v>
      </c>
      <c r="C86" s="1119" t="s">
        <v>626</v>
      </c>
      <c r="D86" s="643">
        <f t="shared" si="52"/>
        <v>0</v>
      </c>
      <c r="E86" s="1120">
        <v>0</v>
      </c>
      <c r="F86" s="645">
        <f t="shared" si="53"/>
        <v>0</v>
      </c>
      <c r="G86" s="646">
        <v>0</v>
      </c>
      <c r="H86" s="647">
        <v>0</v>
      </c>
      <c r="I86" s="649">
        <v>0</v>
      </c>
      <c r="J86" s="645">
        <f t="shared" si="54"/>
        <v>0</v>
      </c>
      <c r="K86" s="646">
        <v>0</v>
      </c>
      <c r="L86" s="647">
        <v>0</v>
      </c>
      <c r="M86" s="649">
        <v>0</v>
      </c>
      <c r="N86" s="650">
        <v>0</v>
      </c>
      <c r="O86" s="1121">
        <v>0</v>
      </c>
      <c r="P86" s="652">
        <v>0</v>
      </c>
    </row>
    <row r="87" spans="2:17" s="1" customFormat="1" x14ac:dyDescent="0.25">
      <c r="B87" s="382" t="s">
        <v>474</v>
      </c>
      <c r="C87" s="1119" t="s">
        <v>627</v>
      </c>
      <c r="D87" s="643">
        <f t="shared" si="52"/>
        <v>0</v>
      </c>
      <c r="E87" s="1120">
        <v>0</v>
      </c>
      <c r="F87" s="645">
        <f t="shared" si="53"/>
        <v>0</v>
      </c>
      <c r="G87" s="646">
        <v>0</v>
      </c>
      <c r="H87" s="647">
        <v>0</v>
      </c>
      <c r="I87" s="649">
        <v>0</v>
      </c>
      <c r="J87" s="645">
        <f t="shared" si="54"/>
        <v>0</v>
      </c>
      <c r="K87" s="646">
        <v>0</v>
      </c>
      <c r="L87" s="647">
        <v>0</v>
      </c>
      <c r="M87" s="649">
        <v>0</v>
      </c>
      <c r="N87" s="650">
        <v>0</v>
      </c>
      <c r="O87" s="1121">
        <v>0</v>
      </c>
      <c r="P87" s="652">
        <v>0</v>
      </c>
    </row>
    <row r="88" spans="2:17" s="1" customFormat="1" x14ac:dyDescent="0.25">
      <c r="B88" s="382" t="s">
        <v>478</v>
      </c>
      <c r="C88" s="1119" t="s">
        <v>628</v>
      </c>
      <c r="D88" s="643">
        <f t="shared" si="52"/>
        <v>0</v>
      </c>
      <c r="E88" s="1120">
        <v>0</v>
      </c>
      <c r="F88" s="645">
        <f t="shared" si="53"/>
        <v>0</v>
      </c>
      <c r="G88" s="646">
        <v>0</v>
      </c>
      <c r="H88" s="647">
        <v>0</v>
      </c>
      <c r="I88" s="649">
        <v>0</v>
      </c>
      <c r="J88" s="645">
        <f t="shared" si="54"/>
        <v>0</v>
      </c>
      <c r="K88" s="646">
        <v>0</v>
      </c>
      <c r="L88" s="647">
        <v>0</v>
      </c>
      <c r="M88" s="649">
        <v>0</v>
      </c>
      <c r="N88" s="650">
        <v>0</v>
      </c>
      <c r="O88" s="1121">
        <v>0</v>
      </c>
      <c r="P88" s="652">
        <v>0</v>
      </c>
    </row>
    <row r="89" spans="2:17" s="1" customFormat="1" x14ac:dyDescent="0.25">
      <c r="B89" s="382" t="s">
        <v>494</v>
      </c>
      <c r="C89" s="1119" t="s">
        <v>629</v>
      </c>
      <c r="D89" s="643">
        <f t="shared" si="52"/>
        <v>0</v>
      </c>
      <c r="E89" s="1120">
        <v>0</v>
      </c>
      <c r="F89" s="645">
        <f t="shared" si="53"/>
        <v>0</v>
      </c>
      <c r="G89" s="646">
        <v>0</v>
      </c>
      <c r="H89" s="647">
        <v>0</v>
      </c>
      <c r="I89" s="649">
        <v>0</v>
      </c>
      <c r="J89" s="645">
        <f t="shared" si="54"/>
        <v>0</v>
      </c>
      <c r="K89" s="646">
        <v>0</v>
      </c>
      <c r="L89" s="647">
        <v>0</v>
      </c>
      <c r="M89" s="649">
        <v>0</v>
      </c>
      <c r="N89" s="650">
        <v>0</v>
      </c>
      <c r="O89" s="1121">
        <v>0</v>
      </c>
      <c r="P89" s="652">
        <v>0</v>
      </c>
    </row>
    <row r="90" spans="2:17" s="1" customFormat="1" x14ac:dyDescent="0.25">
      <c r="B90" s="382" t="s">
        <v>495</v>
      </c>
      <c r="C90" s="1119" t="s">
        <v>630</v>
      </c>
      <c r="D90" s="643">
        <f t="shared" si="52"/>
        <v>0</v>
      </c>
      <c r="E90" s="1120">
        <v>0</v>
      </c>
      <c r="F90" s="645">
        <f t="shared" si="53"/>
        <v>0</v>
      </c>
      <c r="G90" s="646">
        <v>0</v>
      </c>
      <c r="H90" s="647">
        <v>0</v>
      </c>
      <c r="I90" s="649">
        <v>0</v>
      </c>
      <c r="J90" s="645">
        <f t="shared" si="54"/>
        <v>0</v>
      </c>
      <c r="K90" s="646">
        <v>0</v>
      </c>
      <c r="L90" s="647">
        <v>0</v>
      </c>
      <c r="M90" s="649">
        <v>0</v>
      </c>
      <c r="N90" s="650">
        <v>0</v>
      </c>
      <c r="O90" s="1121">
        <v>0</v>
      </c>
      <c r="P90" s="652">
        <v>0</v>
      </c>
    </row>
    <row r="91" spans="2:17" s="1" customFormat="1" x14ac:dyDescent="0.25">
      <c r="B91" s="382" t="s">
        <v>631</v>
      </c>
      <c r="C91" s="1119" t="s">
        <v>632</v>
      </c>
      <c r="D91" s="643">
        <f t="shared" si="52"/>
        <v>0</v>
      </c>
      <c r="E91" s="1120">
        <v>0</v>
      </c>
      <c r="F91" s="645">
        <f t="shared" si="53"/>
        <v>0</v>
      </c>
      <c r="G91" s="646">
        <v>0</v>
      </c>
      <c r="H91" s="647">
        <v>0</v>
      </c>
      <c r="I91" s="649">
        <v>0</v>
      </c>
      <c r="J91" s="645">
        <f t="shared" si="54"/>
        <v>0</v>
      </c>
      <c r="K91" s="646">
        <v>0</v>
      </c>
      <c r="L91" s="647">
        <v>0</v>
      </c>
      <c r="M91" s="649">
        <v>0</v>
      </c>
      <c r="N91" s="650">
        <v>0</v>
      </c>
      <c r="O91" s="1121">
        <v>0</v>
      </c>
      <c r="P91" s="652">
        <v>0</v>
      </c>
    </row>
    <row r="92" spans="2:17" s="1" customFormat="1" x14ac:dyDescent="0.25">
      <c r="B92" s="382" t="s">
        <v>633</v>
      </c>
      <c r="C92" s="1119" t="s">
        <v>634</v>
      </c>
      <c r="D92" s="643">
        <f t="shared" si="52"/>
        <v>0</v>
      </c>
      <c r="E92" s="1120">
        <v>0</v>
      </c>
      <c r="F92" s="645">
        <f t="shared" si="53"/>
        <v>0</v>
      </c>
      <c r="G92" s="646">
        <v>0</v>
      </c>
      <c r="H92" s="647">
        <v>0</v>
      </c>
      <c r="I92" s="649">
        <v>0</v>
      </c>
      <c r="J92" s="645">
        <f t="shared" si="54"/>
        <v>0</v>
      </c>
      <c r="K92" s="646">
        <v>0</v>
      </c>
      <c r="L92" s="647">
        <v>0</v>
      </c>
      <c r="M92" s="649">
        <v>0</v>
      </c>
      <c r="N92" s="650">
        <v>0</v>
      </c>
      <c r="O92" s="1121">
        <v>0</v>
      </c>
      <c r="P92" s="652">
        <v>0</v>
      </c>
    </row>
    <row r="93" spans="2:17" s="1" customFormat="1" x14ac:dyDescent="0.25">
      <c r="B93" s="380" t="s">
        <v>635</v>
      </c>
      <c r="C93" s="1119" t="s">
        <v>636</v>
      </c>
      <c r="D93" s="643">
        <f t="shared" si="52"/>
        <v>0</v>
      </c>
      <c r="E93" s="1120">
        <v>0</v>
      </c>
      <c r="F93" s="645">
        <f t="shared" si="53"/>
        <v>0</v>
      </c>
      <c r="G93" s="646">
        <v>0</v>
      </c>
      <c r="H93" s="647">
        <v>0</v>
      </c>
      <c r="I93" s="649">
        <v>0</v>
      </c>
      <c r="J93" s="645">
        <f t="shared" si="54"/>
        <v>0</v>
      </c>
      <c r="K93" s="646">
        <v>0</v>
      </c>
      <c r="L93" s="647">
        <v>0</v>
      </c>
      <c r="M93" s="649">
        <v>0</v>
      </c>
      <c r="N93" s="650">
        <v>0</v>
      </c>
      <c r="O93" s="1121">
        <v>0</v>
      </c>
      <c r="P93" s="652">
        <v>0</v>
      </c>
    </row>
    <row r="94" spans="2:17" s="1" customFormat="1" x14ac:dyDescent="0.25">
      <c r="B94" s="382" t="s">
        <v>637</v>
      </c>
      <c r="C94" s="1122" t="s">
        <v>638</v>
      </c>
      <c r="D94" s="655">
        <f t="shared" si="52"/>
        <v>0</v>
      </c>
      <c r="E94" s="1123">
        <v>0</v>
      </c>
      <c r="F94" s="657">
        <f t="shared" si="53"/>
        <v>0</v>
      </c>
      <c r="G94" s="658">
        <v>0</v>
      </c>
      <c r="H94" s="659">
        <v>0</v>
      </c>
      <c r="I94" s="661">
        <v>0</v>
      </c>
      <c r="J94" s="657">
        <f t="shared" si="54"/>
        <v>0</v>
      </c>
      <c r="K94" s="658">
        <v>0</v>
      </c>
      <c r="L94" s="659">
        <v>0</v>
      </c>
      <c r="M94" s="661">
        <v>0</v>
      </c>
      <c r="N94" s="662">
        <v>0</v>
      </c>
      <c r="O94" s="1124">
        <v>0</v>
      </c>
      <c r="P94" s="664">
        <v>0</v>
      </c>
    </row>
    <row r="95" spans="2:17" s="1" customFormat="1" ht="15.75" thickBot="1" x14ac:dyDescent="0.3">
      <c r="B95" s="1125" t="s">
        <v>639</v>
      </c>
      <c r="C95" s="1126" t="s">
        <v>640</v>
      </c>
      <c r="D95" s="667">
        <f t="shared" si="52"/>
        <v>0</v>
      </c>
      <c r="E95" s="1127">
        <v>0</v>
      </c>
      <c r="F95" s="1128">
        <f t="shared" si="53"/>
        <v>0</v>
      </c>
      <c r="G95" s="670">
        <v>0</v>
      </c>
      <c r="H95" s="671">
        <v>0</v>
      </c>
      <c r="I95" s="673">
        <v>0</v>
      </c>
      <c r="J95" s="669">
        <f t="shared" si="54"/>
        <v>0</v>
      </c>
      <c r="K95" s="670">
        <v>0</v>
      </c>
      <c r="L95" s="671">
        <v>0</v>
      </c>
      <c r="M95" s="673">
        <v>0</v>
      </c>
      <c r="N95" s="668">
        <v>0</v>
      </c>
      <c r="O95" s="1129">
        <v>0</v>
      </c>
      <c r="P95" s="1127">
        <v>0</v>
      </c>
    </row>
    <row r="96" spans="2:17" s="1" customFormat="1" ht="16.5" thickTop="1" thickBot="1" x14ac:dyDescent="0.3">
      <c r="B96" s="489" t="s">
        <v>77</v>
      </c>
      <c r="C96" s="489" t="s">
        <v>641</v>
      </c>
      <c r="D96" s="1041">
        <f t="shared" ref="D96:P96" si="55">D97+D101+D106+D108+D111+D114</f>
        <v>4.0568537909809468</v>
      </c>
      <c r="E96" s="1042">
        <f t="shared" si="55"/>
        <v>0</v>
      </c>
      <c r="F96" s="1042">
        <f t="shared" si="55"/>
        <v>0.99165848982390759</v>
      </c>
      <c r="G96" s="1043">
        <f t="shared" si="55"/>
        <v>0.72755303437435215</v>
      </c>
      <c r="H96" s="1044">
        <f t="shared" si="55"/>
        <v>0</v>
      </c>
      <c r="I96" s="1045">
        <f t="shared" si="55"/>
        <v>0.26410545544955538</v>
      </c>
      <c r="J96" s="1046">
        <f t="shared" si="55"/>
        <v>1.7010697560353432</v>
      </c>
      <c r="K96" s="1043">
        <f t="shared" si="55"/>
        <v>0</v>
      </c>
      <c r="L96" s="1044">
        <f t="shared" si="55"/>
        <v>1.7010697560353432</v>
      </c>
      <c r="M96" s="1045">
        <f t="shared" si="55"/>
        <v>0</v>
      </c>
      <c r="N96" s="1047">
        <f t="shared" si="55"/>
        <v>0</v>
      </c>
      <c r="O96" s="1048">
        <f t="shared" si="55"/>
        <v>0.73386841518980295</v>
      </c>
      <c r="P96" s="1042">
        <f t="shared" si="55"/>
        <v>0.63025712993189331</v>
      </c>
      <c r="Q96" s="602"/>
    </row>
    <row r="97" spans="2:17" s="1" customFormat="1" ht="15.75" thickTop="1" x14ac:dyDescent="0.25">
      <c r="B97" s="499" t="s">
        <v>497</v>
      </c>
      <c r="C97" s="500" t="s">
        <v>8</v>
      </c>
      <c r="D97" s="1049">
        <f>SUM(D98:D100)</f>
        <v>0</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0</v>
      </c>
      <c r="E101" s="1050">
        <f>SUM(E102:E105)</f>
        <v>0</v>
      </c>
      <c r="F101" s="1050">
        <f t="shared" si="56"/>
        <v>0</v>
      </c>
      <c r="G101" s="147">
        <f>SUM(G102:G105)</f>
        <v>0</v>
      </c>
      <c r="H101" s="148">
        <f>SUM(H102:H105)</f>
        <v>0</v>
      </c>
      <c r="I101" s="149">
        <f>SUM(I102:I105)</f>
        <v>0</v>
      </c>
      <c r="J101" s="146">
        <f t="shared" si="57"/>
        <v>0</v>
      </c>
      <c r="K101" s="147">
        <f t="shared" ref="K101:P101" si="61">SUM(K102:K105)</f>
        <v>0</v>
      </c>
      <c r="L101" s="148">
        <f t="shared" si="61"/>
        <v>0</v>
      </c>
      <c r="M101" s="149">
        <f t="shared" si="61"/>
        <v>0</v>
      </c>
      <c r="N101" s="1051">
        <f t="shared" si="61"/>
        <v>0</v>
      </c>
      <c r="O101" s="145">
        <f t="shared" si="61"/>
        <v>0</v>
      </c>
      <c r="P101" s="1050">
        <f t="shared" si="61"/>
        <v>0</v>
      </c>
      <c r="Q101" s="602"/>
    </row>
    <row r="102" spans="2:17" s="1" customFormat="1" x14ac:dyDescent="0.25">
      <c r="B102" s="509" t="s">
        <v>500</v>
      </c>
      <c r="C102" s="510" t="s">
        <v>17</v>
      </c>
      <c r="D102" s="603">
        <v>0</v>
      </c>
      <c r="E102" s="1052">
        <f>IFERROR($D102*E122/100, 0)</f>
        <v>0</v>
      </c>
      <c r="F102" s="1052">
        <f t="shared" si="56"/>
        <v>0</v>
      </c>
      <c r="G102" s="360">
        <f t="shared" ref="G102:I105" si="62">IFERROR($D102*G122/100, 0)</f>
        <v>0</v>
      </c>
      <c r="H102" s="361">
        <f t="shared" si="62"/>
        <v>0</v>
      </c>
      <c r="I102" s="362">
        <f t="shared" si="62"/>
        <v>0</v>
      </c>
      <c r="J102" s="308">
        <f t="shared" si="57"/>
        <v>0</v>
      </c>
      <c r="K102" s="360">
        <f t="shared" ref="K102:P105" si="63">IFERROR($D102*K122/100, 0)</f>
        <v>0</v>
      </c>
      <c r="L102" s="361">
        <f t="shared" si="63"/>
        <v>0</v>
      </c>
      <c r="M102" s="362">
        <f t="shared" si="63"/>
        <v>0</v>
      </c>
      <c r="N102" s="1053">
        <f t="shared" si="63"/>
        <v>0</v>
      </c>
      <c r="O102" s="359">
        <f t="shared" si="63"/>
        <v>0</v>
      </c>
      <c r="P102" s="1052">
        <f t="shared" si="63"/>
        <v>0</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v>
      </c>
      <c r="E106" s="1050">
        <f>E107</f>
        <v>0</v>
      </c>
      <c r="F106" s="1050">
        <f t="shared" si="56"/>
        <v>0</v>
      </c>
      <c r="G106" s="147">
        <f>G107</f>
        <v>0</v>
      </c>
      <c r="H106" s="148">
        <f>H107</f>
        <v>0</v>
      </c>
      <c r="I106" s="149">
        <f>I107</f>
        <v>0</v>
      </c>
      <c r="J106" s="146">
        <f t="shared" si="57"/>
        <v>0</v>
      </c>
      <c r="K106" s="147">
        <f t="shared" ref="K106:P106" si="64">K107</f>
        <v>0</v>
      </c>
      <c r="L106" s="148">
        <f t="shared" si="64"/>
        <v>0</v>
      </c>
      <c r="M106" s="149">
        <f t="shared" si="64"/>
        <v>0</v>
      </c>
      <c r="N106" s="1051">
        <f t="shared" si="64"/>
        <v>0</v>
      </c>
      <c r="O106" s="145">
        <f t="shared" si="64"/>
        <v>0</v>
      </c>
      <c r="P106" s="1050">
        <f t="shared" si="64"/>
        <v>0</v>
      </c>
      <c r="Q106" s="602"/>
    </row>
    <row r="107" spans="2:17" s="1" customFormat="1" x14ac:dyDescent="0.25">
      <c r="B107" s="509" t="s">
        <v>503</v>
      </c>
      <c r="C107" s="525" t="s">
        <v>647</v>
      </c>
      <c r="D107" s="603">
        <v>0</v>
      </c>
      <c r="E107" s="1052">
        <f>IFERROR($D107*E126/100, 0)</f>
        <v>0</v>
      </c>
      <c r="F107" s="1052">
        <f t="shared" si="56"/>
        <v>0</v>
      </c>
      <c r="G107" s="360">
        <f>IFERROR($D107*G126/100, 0)</f>
        <v>0</v>
      </c>
      <c r="H107" s="361">
        <f>IFERROR($D107*H126/100, 0)</f>
        <v>0</v>
      </c>
      <c r="I107" s="362">
        <f>IFERROR($D107*I126/100, 0)</f>
        <v>0</v>
      </c>
      <c r="J107" s="308">
        <f t="shared" si="57"/>
        <v>0</v>
      </c>
      <c r="K107" s="360">
        <f t="shared" ref="K107:P107" si="65">IFERROR($D107*K126/100, 0)</f>
        <v>0</v>
      </c>
      <c r="L107" s="361">
        <f t="shared" si="65"/>
        <v>0</v>
      </c>
      <c r="M107" s="362">
        <f t="shared" si="65"/>
        <v>0</v>
      </c>
      <c r="N107" s="1053">
        <f t="shared" si="65"/>
        <v>0</v>
      </c>
      <c r="O107" s="359">
        <f t="shared" si="65"/>
        <v>0</v>
      </c>
      <c r="P107" s="1052">
        <f t="shared" si="65"/>
        <v>0</v>
      </c>
    </row>
    <row r="108" spans="2:17" s="1" customFormat="1" x14ac:dyDescent="0.25">
      <c r="B108" s="499" t="s">
        <v>175</v>
      </c>
      <c r="C108" s="524" t="s">
        <v>33</v>
      </c>
      <c r="D108" s="1049">
        <f>D109+D110</f>
        <v>3.9809487243142798</v>
      </c>
      <c r="E108" s="1050">
        <f>E109+E110</f>
        <v>0</v>
      </c>
      <c r="F108" s="1050">
        <f t="shared" si="56"/>
        <v>0.99165848982390759</v>
      </c>
      <c r="G108" s="147">
        <f>G109+G110</f>
        <v>0.72755303437435215</v>
      </c>
      <c r="H108" s="148">
        <f>H109+H110</f>
        <v>0</v>
      </c>
      <c r="I108" s="149">
        <f>I109+I110</f>
        <v>0.26410545544955538</v>
      </c>
      <c r="J108" s="146">
        <f t="shared" si="57"/>
        <v>1.7010697560353432</v>
      </c>
      <c r="K108" s="147">
        <f t="shared" ref="K108:P108" si="66">K109+K110</f>
        <v>0</v>
      </c>
      <c r="L108" s="148">
        <f t="shared" si="66"/>
        <v>1.7010697560353432</v>
      </c>
      <c r="M108" s="149">
        <f t="shared" si="66"/>
        <v>0</v>
      </c>
      <c r="N108" s="1051">
        <f t="shared" si="66"/>
        <v>0</v>
      </c>
      <c r="O108" s="145">
        <f t="shared" si="66"/>
        <v>0.73386841518980295</v>
      </c>
      <c r="P108" s="1050">
        <f t="shared" si="66"/>
        <v>0.55435206326522612</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3.9809487243142798</v>
      </c>
      <c r="E110" s="1052">
        <f>IFERROR($D110*E128/100, 0)</f>
        <v>0</v>
      </c>
      <c r="F110" s="1052">
        <f t="shared" si="56"/>
        <v>0.99165848982390759</v>
      </c>
      <c r="G110" s="360">
        <f t="shared" si="67"/>
        <v>0.72755303437435215</v>
      </c>
      <c r="H110" s="361">
        <f t="shared" si="67"/>
        <v>0</v>
      </c>
      <c r="I110" s="362">
        <f t="shared" si="67"/>
        <v>0.26410545544955538</v>
      </c>
      <c r="J110" s="308">
        <f t="shared" si="57"/>
        <v>1.7010697560353432</v>
      </c>
      <c r="K110" s="360">
        <f t="shared" si="68"/>
        <v>0</v>
      </c>
      <c r="L110" s="361">
        <f t="shared" si="68"/>
        <v>1.7010697560353432</v>
      </c>
      <c r="M110" s="362">
        <f t="shared" si="68"/>
        <v>0</v>
      </c>
      <c r="N110" s="1053">
        <f t="shared" si="68"/>
        <v>0</v>
      </c>
      <c r="O110" s="359">
        <f t="shared" si="68"/>
        <v>0.73386841518980295</v>
      </c>
      <c r="P110" s="1052">
        <f t="shared" si="68"/>
        <v>0.55435206326522612</v>
      </c>
    </row>
    <row r="111" spans="2:17" s="1" customFormat="1" x14ac:dyDescent="0.25">
      <c r="B111" s="499" t="s">
        <v>177</v>
      </c>
      <c r="C111" s="536" t="s">
        <v>39</v>
      </c>
      <c r="D111" s="1061">
        <f>D112+D113</f>
        <v>7.5905066666667159E-2</v>
      </c>
      <c r="E111" s="1062">
        <f>E112+E113</f>
        <v>0</v>
      </c>
      <c r="F111" s="1062">
        <f t="shared" si="56"/>
        <v>0</v>
      </c>
      <c r="G111" s="1063">
        <f>G112+G113</f>
        <v>0</v>
      </c>
      <c r="H111" s="1064">
        <f>H112+H113</f>
        <v>0</v>
      </c>
      <c r="I111" s="1065">
        <f>I112+I113</f>
        <v>0</v>
      </c>
      <c r="J111" s="1066">
        <f t="shared" si="57"/>
        <v>0</v>
      </c>
      <c r="K111" s="1063">
        <f t="shared" ref="K111:P111" si="69">K112+K113</f>
        <v>0</v>
      </c>
      <c r="L111" s="1064">
        <f t="shared" si="69"/>
        <v>0</v>
      </c>
      <c r="M111" s="1065">
        <f t="shared" si="69"/>
        <v>0</v>
      </c>
      <c r="N111" s="1067">
        <f t="shared" si="69"/>
        <v>0</v>
      </c>
      <c r="O111" s="1068">
        <f t="shared" si="69"/>
        <v>0</v>
      </c>
      <c r="P111" s="1062">
        <f t="shared" si="69"/>
        <v>7.5905066666667159E-2</v>
      </c>
      <c r="Q111" s="602"/>
    </row>
    <row r="112" spans="2:17" s="1" customFormat="1" x14ac:dyDescent="0.25">
      <c r="B112" s="1069" t="s">
        <v>648</v>
      </c>
      <c r="C112" s="545" t="s">
        <v>41</v>
      </c>
      <c r="D112" s="608">
        <v>7.5905066666667159E-2</v>
      </c>
      <c r="E112" s="1052">
        <f>IFERROR($D112*E129/100, 0)</f>
        <v>0</v>
      </c>
      <c r="F112" s="1052">
        <f t="shared" si="56"/>
        <v>0</v>
      </c>
      <c r="G112" s="360">
        <f t="shared" ref="G112:I113" si="70">IFERROR($D112*G129/100, 0)</f>
        <v>0</v>
      </c>
      <c r="H112" s="361">
        <f t="shared" si="70"/>
        <v>0</v>
      </c>
      <c r="I112" s="362">
        <f t="shared" si="70"/>
        <v>0</v>
      </c>
      <c r="J112" s="308">
        <f t="shared" si="57"/>
        <v>0</v>
      </c>
      <c r="K112" s="360">
        <f t="shared" ref="K112:P113" si="71">IFERROR($D112*K129/100, 0)</f>
        <v>0</v>
      </c>
      <c r="L112" s="361">
        <f t="shared" si="71"/>
        <v>0</v>
      </c>
      <c r="M112" s="362">
        <f t="shared" si="71"/>
        <v>0</v>
      </c>
      <c r="N112" s="1053">
        <f t="shared" si="71"/>
        <v>0</v>
      </c>
      <c r="O112" s="359">
        <f t="shared" si="71"/>
        <v>0</v>
      </c>
      <c r="P112" s="1052">
        <f t="shared" si="71"/>
        <v>7.5905066666667159E-2</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603</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0</v>
      </c>
      <c r="E119" s="716">
        <v>0</v>
      </c>
      <c r="F119" s="633">
        <f t="shared" ref="F119:F134" si="76">SUM(G119:I119)</f>
        <v>0</v>
      </c>
      <c r="G119" s="717">
        <v>0</v>
      </c>
      <c r="H119" s="718">
        <v>0</v>
      </c>
      <c r="I119" s="720">
        <v>0</v>
      </c>
      <c r="J119" s="633">
        <f t="shared" ref="J119:J134" si="77">SUM(K119:M119)</f>
        <v>0</v>
      </c>
      <c r="K119" s="717">
        <v>0</v>
      </c>
      <c r="L119" s="718">
        <v>0</v>
      </c>
      <c r="M119" s="720">
        <v>0</v>
      </c>
      <c r="N119" s="721">
        <v>0</v>
      </c>
      <c r="O119" s="1130">
        <v>0</v>
      </c>
      <c r="P119" s="723">
        <v>0</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v>0</v>
      </c>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100</v>
      </c>
      <c r="E122" s="716">
        <v>0</v>
      </c>
      <c r="F122" s="645">
        <f t="shared" si="76"/>
        <v>20.875684038391682</v>
      </c>
      <c r="G122" s="724">
        <v>8.690011785502664</v>
      </c>
      <c r="H122" s="725">
        <v>12.185672252889018</v>
      </c>
      <c r="I122" s="727">
        <v>0</v>
      </c>
      <c r="J122" s="645">
        <f t="shared" si="77"/>
        <v>69.830730549356687</v>
      </c>
      <c r="K122" s="724">
        <v>34.717620786279099</v>
      </c>
      <c r="L122" s="725">
        <v>34.594597089879436</v>
      </c>
      <c r="M122" s="727">
        <v>0.51851267319813976</v>
      </c>
      <c r="N122" s="728">
        <v>0</v>
      </c>
      <c r="O122" s="1131">
        <v>4.9486157679434495</v>
      </c>
      <c r="P122" s="730">
        <v>4.34496964430818</v>
      </c>
    </row>
    <row r="123" spans="2:17" s="1" customFormat="1" x14ac:dyDescent="0.25">
      <c r="B123" s="380" t="s">
        <v>656</v>
      </c>
      <c r="C123" s="1119" t="s">
        <v>657</v>
      </c>
      <c r="D123" s="643">
        <f t="shared" si="75"/>
        <v>100</v>
      </c>
      <c r="E123" s="716">
        <v>0</v>
      </c>
      <c r="F123" s="645">
        <f t="shared" si="76"/>
        <v>82.622537288834707</v>
      </c>
      <c r="G123" s="724">
        <v>82.622537288834707</v>
      </c>
      <c r="H123" s="725">
        <v>0</v>
      </c>
      <c r="I123" s="727">
        <v>0</v>
      </c>
      <c r="J123" s="645">
        <f t="shared" si="77"/>
        <v>7.4384543112270078</v>
      </c>
      <c r="K123" s="724">
        <v>0</v>
      </c>
      <c r="L123" s="725">
        <v>7.4384543112270078</v>
      </c>
      <c r="M123" s="727">
        <v>0</v>
      </c>
      <c r="N123" s="728">
        <v>0</v>
      </c>
      <c r="O123" s="1131">
        <v>9.9390083999382952</v>
      </c>
      <c r="P123" s="730">
        <v>0</v>
      </c>
    </row>
    <row r="124" spans="2:17" s="1" customFormat="1" x14ac:dyDescent="0.25">
      <c r="B124" s="380" t="s">
        <v>658</v>
      </c>
      <c r="C124" s="1119" t="s">
        <v>659</v>
      </c>
      <c r="D124" s="643">
        <f t="shared" si="75"/>
        <v>100</v>
      </c>
      <c r="E124" s="716">
        <v>0</v>
      </c>
      <c r="F124" s="645">
        <f t="shared" si="76"/>
        <v>32.00206931486148</v>
      </c>
      <c r="G124" s="724">
        <v>0</v>
      </c>
      <c r="H124" s="725">
        <v>0</v>
      </c>
      <c r="I124" s="727">
        <v>32.00206931486148</v>
      </c>
      <c r="J124" s="645">
        <f t="shared" si="77"/>
        <v>44.483571374452779</v>
      </c>
      <c r="K124" s="724">
        <v>44.483571374452779</v>
      </c>
      <c r="L124" s="725">
        <v>0</v>
      </c>
      <c r="M124" s="727">
        <v>0</v>
      </c>
      <c r="N124" s="728">
        <v>0</v>
      </c>
      <c r="O124" s="1131">
        <v>23.514359310685741</v>
      </c>
      <c r="P124" s="730">
        <v>0</v>
      </c>
    </row>
    <row r="125" spans="2:17" s="1" customFormat="1" x14ac:dyDescent="0.25">
      <c r="B125" s="380" t="s">
        <v>660</v>
      </c>
      <c r="C125" s="1119" t="s">
        <v>661</v>
      </c>
      <c r="D125" s="643">
        <f t="shared" si="75"/>
        <v>100.00000000000001</v>
      </c>
      <c r="E125" s="716">
        <v>0</v>
      </c>
      <c r="F125" s="645">
        <f t="shared" si="76"/>
        <v>64.664710695389132</v>
      </c>
      <c r="G125" s="724">
        <v>27.615832219227276</v>
      </c>
      <c r="H125" s="725">
        <v>5.1866471327454668</v>
      </c>
      <c r="I125" s="727">
        <v>31.862231343416386</v>
      </c>
      <c r="J125" s="645">
        <f t="shared" si="77"/>
        <v>35.335289304610882</v>
      </c>
      <c r="K125" s="724">
        <v>18.206017238256653</v>
      </c>
      <c r="L125" s="725">
        <v>17.129272066354226</v>
      </c>
      <c r="M125" s="727">
        <v>0</v>
      </c>
      <c r="N125" s="728">
        <v>0</v>
      </c>
      <c r="O125" s="1131">
        <v>0</v>
      </c>
      <c r="P125" s="730">
        <v>0</v>
      </c>
    </row>
    <row r="126" spans="2:17" s="1" customFormat="1" x14ac:dyDescent="0.25">
      <c r="B126" s="382" t="s">
        <v>662</v>
      </c>
      <c r="C126" s="1119" t="s">
        <v>663</v>
      </c>
      <c r="D126" s="643">
        <f t="shared" si="75"/>
        <v>100</v>
      </c>
      <c r="E126" s="716">
        <v>0</v>
      </c>
      <c r="F126" s="645">
        <f t="shared" si="76"/>
        <v>1.1220599250653887</v>
      </c>
      <c r="G126" s="724">
        <v>0.76258253594400438</v>
      </c>
      <c r="H126" s="725">
        <v>0.35947738912138433</v>
      </c>
      <c r="I126" s="727">
        <v>0</v>
      </c>
      <c r="J126" s="645">
        <f t="shared" si="77"/>
        <v>0.80464472875753645</v>
      </c>
      <c r="K126" s="724">
        <v>0.65511027806088151</v>
      </c>
      <c r="L126" s="725">
        <v>0.14953445069665491</v>
      </c>
      <c r="M126" s="727">
        <v>0</v>
      </c>
      <c r="N126" s="728">
        <v>0</v>
      </c>
      <c r="O126" s="1131">
        <v>98.073295346177076</v>
      </c>
      <c r="P126" s="730">
        <v>0</v>
      </c>
    </row>
    <row r="127" spans="2:17" s="1" customFormat="1" x14ac:dyDescent="0.25">
      <c r="B127" s="382" t="s">
        <v>664</v>
      </c>
      <c r="C127" s="1119" t="s">
        <v>665</v>
      </c>
      <c r="D127" s="643">
        <f t="shared" si="75"/>
        <v>0</v>
      </c>
      <c r="E127" s="716">
        <v>0</v>
      </c>
      <c r="F127" s="645">
        <f t="shared" si="76"/>
        <v>0</v>
      </c>
      <c r="G127" s="724">
        <v>0</v>
      </c>
      <c r="H127" s="725">
        <v>0</v>
      </c>
      <c r="I127" s="727">
        <v>0</v>
      </c>
      <c r="J127" s="645">
        <f t="shared" si="77"/>
        <v>0</v>
      </c>
      <c r="K127" s="724">
        <v>0</v>
      </c>
      <c r="L127" s="725">
        <v>0</v>
      </c>
      <c r="M127" s="727">
        <v>0</v>
      </c>
      <c r="N127" s="728">
        <v>0</v>
      </c>
      <c r="O127" s="1131">
        <v>0</v>
      </c>
      <c r="P127" s="730">
        <v>0</v>
      </c>
    </row>
    <row r="128" spans="2:17" s="1" customFormat="1" x14ac:dyDescent="0.25">
      <c r="B128" s="382" t="s">
        <v>666</v>
      </c>
      <c r="C128" s="1119" t="s">
        <v>667</v>
      </c>
      <c r="D128" s="643">
        <f t="shared" si="75"/>
        <v>100</v>
      </c>
      <c r="E128" s="716">
        <v>0</v>
      </c>
      <c r="F128" s="645">
        <f t="shared" si="76"/>
        <v>24.910104562944884</v>
      </c>
      <c r="G128" s="724">
        <v>18.275870521283178</v>
      </c>
      <c r="H128" s="725">
        <v>0</v>
      </c>
      <c r="I128" s="727">
        <v>6.6342340416617063</v>
      </c>
      <c r="J128" s="645">
        <f t="shared" si="77"/>
        <v>42.730260393603871</v>
      </c>
      <c r="K128" s="724">
        <v>0</v>
      </c>
      <c r="L128" s="725">
        <v>42.730260393603871</v>
      </c>
      <c r="M128" s="727">
        <v>0</v>
      </c>
      <c r="N128" s="728">
        <v>0</v>
      </c>
      <c r="O128" s="1131">
        <v>18.434510615712892</v>
      </c>
      <c r="P128" s="730">
        <v>13.925124427738355</v>
      </c>
    </row>
    <row r="129" spans="2:16" s="1" customFormat="1" x14ac:dyDescent="0.25">
      <c r="B129" s="382" t="s">
        <v>668</v>
      </c>
      <c r="C129" s="1119" t="s">
        <v>669</v>
      </c>
      <c r="D129" s="643">
        <f t="shared" si="75"/>
        <v>100</v>
      </c>
      <c r="E129" s="716">
        <v>0</v>
      </c>
      <c r="F129" s="645">
        <f t="shared" si="76"/>
        <v>0</v>
      </c>
      <c r="G129" s="724">
        <v>0</v>
      </c>
      <c r="H129" s="725">
        <v>0</v>
      </c>
      <c r="I129" s="727">
        <v>0</v>
      </c>
      <c r="J129" s="645">
        <f t="shared" si="77"/>
        <v>0</v>
      </c>
      <c r="K129" s="724">
        <v>0</v>
      </c>
      <c r="L129" s="725">
        <v>0</v>
      </c>
      <c r="M129" s="727">
        <v>0</v>
      </c>
      <c r="N129" s="728">
        <v>0</v>
      </c>
      <c r="O129" s="1131">
        <v>0</v>
      </c>
      <c r="P129" s="730">
        <v>100</v>
      </c>
    </row>
    <row r="130" spans="2:16" s="1" customFormat="1" x14ac:dyDescent="0.25">
      <c r="B130" s="380" t="s">
        <v>670</v>
      </c>
      <c r="C130" s="1119" t="s">
        <v>671</v>
      </c>
      <c r="D130" s="643">
        <f t="shared" si="75"/>
        <v>100</v>
      </c>
      <c r="E130" s="716">
        <v>0</v>
      </c>
      <c r="F130" s="645">
        <f t="shared" si="76"/>
        <v>58.175360949271656</v>
      </c>
      <c r="G130" s="724">
        <v>0</v>
      </c>
      <c r="H130" s="725">
        <v>0</v>
      </c>
      <c r="I130" s="727">
        <v>58.175360949271656</v>
      </c>
      <c r="J130" s="645">
        <f t="shared" si="77"/>
        <v>0</v>
      </c>
      <c r="K130" s="724">
        <v>0</v>
      </c>
      <c r="L130" s="725">
        <v>0</v>
      </c>
      <c r="M130" s="727">
        <v>0</v>
      </c>
      <c r="N130" s="728">
        <v>0</v>
      </c>
      <c r="O130" s="1131">
        <v>26.499857600786665</v>
      </c>
      <c r="P130" s="730">
        <v>15.324781449941677</v>
      </c>
    </row>
    <row r="131" spans="2:16" s="1" customFormat="1" x14ac:dyDescent="0.25">
      <c r="B131" s="382" t="s">
        <v>672</v>
      </c>
      <c r="C131" s="1119" t="s">
        <v>673</v>
      </c>
      <c r="D131" s="643">
        <f t="shared" si="75"/>
        <v>0</v>
      </c>
      <c r="E131" s="716">
        <v>0</v>
      </c>
      <c r="F131" s="645">
        <f t="shared" si="76"/>
        <v>0</v>
      </c>
      <c r="G131" s="724">
        <v>0</v>
      </c>
      <c r="H131" s="725">
        <v>0</v>
      </c>
      <c r="I131" s="727">
        <v>0</v>
      </c>
      <c r="J131" s="645">
        <f t="shared" si="77"/>
        <v>0</v>
      </c>
      <c r="K131" s="724">
        <v>0</v>
      </c>
      <c r="L131" s="725">
        <v>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v>0</v>
      </c>
      <c r="O133" s="1135">
        <v>0</v>
      </c>
      <c r="P133" s="750">
        <v>0</v>
      </c>
    </row>
    <row r="134" spans="2:16" s="1" customFormat="1" ht="26.25" thickBot="1" x14ac:dyDescent="0.3">
      <c r="B134" s="1136" t="s">
        <v>81</v>
      </c>
      <c r="C134" s="33" t="s">
        <v>678</v>
      </c>
      <c r="D134" s="753">
        <f t="shared" si="75"/>
        <v>100</v>
      </c>
      <c r="E134" s="754">
        <f>IFERROR(E96/$D$96*100, 0)</f>
        <v>0</v>
      </c>
      <c r="F134" s="755">
        <f t="shared" si="76"/>
        <v>24.444028326298753</v>
      </c>
      <c r="G134" s="756">
        <f>IFERROR(G96/$D$96*100, 0)</f>
        <v>17.933922982184423</v>
      </c>
      <c r="H134" s="757">
        <f>IFERROR(H96/$D$96*100, 0)</f>
        <v>0</v>
      </c>
      <c r="I134" s="759">
        <f>IFERROR(I96/$D$96*100, 0)</f>
        <v>6.5101053441143293</v>
      </c>
      <c r="J134" s="755">
        <f t="shared" si="77"/>
        <v>41.930763189373529</v>
      </c>
      <c r="K134" s="756">
        <f t="shared" ref="K134:P134" si="78">IFERROR(K96/$D$96*100, 0)</f>
        <v>0</v>
      </c>
      <c r="L134" s="757">
        <f t="shared" si="78"/>
        <v>41.930763189373529</v>
      </c>
      <c r="M134" s="759">
        <f t="shared" si="78"/>
        <v>0</v>
      </c>
      <c r="N134" s="755">
        <f t="shared" si="78"/>
        <v>0</v>
      </c>
      <c r="O134" s="755">
        <f t="shared" si="78"/>
        <v>18.089594868351259</v>
      </c>
      <c r="P134" s="755">
        <f t="shared" si="78"/>
        <v>15.535613615976462</v>
      </c>
    </row>
  </sheetData>
  <sheetProtection algorithmName="SHA-512" hashValue="8xRkB2CNoWHoKP54h4sc6uCPOt7gj8vWu48TuXp0cnZV8vd6/OqjezLOoxZT8V/EYVRCFFsTML4KXz/jLgpBmg==" saltValue="guNEm/wwmlVJlciPXbF39smgGq4v/+LZdoS0MJNBy0X4ktB9IZhCEblfDInUZxzkPQfPoEx7oAuTOTKFETJz8Q=="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topLeftCell="C1" zoomScaleNormal="100" workbookViewId="0">
      <selection activeCell="E191" sqref="E191:E195"/>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59" t="s">
        <v>0</v>
      </c>
      <c r="B1" s="1360"/>
      <c r="C1" s="1360"/>
      <c r="D1" s="1360"/>
      <c r="E1" s="1360"/>
      <c r="F1" s="1361"/>
    </row>
    <row r="2" spans="1:7" s="1" customFormat="1" x14ac:dyDescent="0.25">
      <c r="A2" s="1359" t="s">
        <v>1</v>
      </c>
      <c r="B2" s="1360"/>
      <c r="C2" s="1360"/>
      <c r="D2" s="1360"/>
      <c r="E2" s="1360"/>
      <c r="F2" s="1361"/>
    </row>
    <row r="3" spans="1:7" s="1" customFormat="1" x14ac:dyDescent="0.25">
      <c r="A3" s="1362"/>
      <c r="B3" s="1363"/>
      <c r="C3" s="1363"/>
      <c r="D3" s="1363"/>
      <c r="E3" s="1363"/>
      <c r="F3" s="1364"/>
    </row>
    <row r="4" spans="1:7" s="1" customFormat="1" x14ac:dyDescent="0.25">
      <c r="A4" s="1138"/>
      <c r="B4" s="1138"/>
      <c r="C4" s="1138"/>
      <c r="D4" s="1138"/>
      <c r="E4" s="1138"/>
      <c r="F4" s="1139"/>
    </row>
    <row r="5" spans="1:7" s="1" customFormat="1" x14ac:dyDescent="0.25">
      <c r="A5" s="1365" t="s">
        <v>951</v>
      </c>
      <c r="B5" s="1366"/>
      <c r="C5" s="1366"/>
      <c r="D5" s="1366"/>
      <c r="E5" s="1366"/>
      <c r="F5" s="136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1104</v>
      </c>
      <c r="F11" s="1151"/>
      <c r="G11" s="1144"/>
    </row>
    <row r="12" spans="1:7" s="1" customFormat="1" x14ac:dyDescent="0.25">
      <c r="B12" s="1152" t="s">
        <v>102</v>
      </c>
      <c r="C12" s="1153" t="s">
        <v>957</v>
      </c>
      <c r="D12" s="1154" t="s">
        <v>956</v>
      </c>
      <c r="E12" s="1155">
        <v>411</v>
      </c>
      <c r="F12" s="1151"/>
      <c r="G12" s="1144"/>
    </row>
    <row r="13" spans="1:7" s="1" customFormat="1" x14ac:dyDescent="0.25">
      <c r="B13" s="1152" t="s">
        <v>124</v>
      </c>
      <c r="C13" s="1153" t="s">
        <v>958</v>
      </c>
      <c r="D13" s="1153" t="s">
        <v>956</v>
      </c>
      <c r="E13" s="1155">
        <v>26</v>
      </c>
      <c r="F13" s="1151"/>
      <c r="G13" s="1144"/>
    </row>
    <row r="14" spans="1:7" s="1" customFormat="1" x14ac:dyDescent="0.25">
      <c r="B14" s="1152" t="s">
        <v>131</v>
      </c>
      <c r="C14" s="1153" t="s">
        <v>959</v>
      </c>
      <c r="D14" s="1153" t="s">
        <v>956</v>
      </c>
      <c r="E14" s="1155">
        <v>8953</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250</v>
      </c>
      <c r="F16" s="1156"/>
      <c r="G16" s="1144"/>
    </row>
    <row r="17" spans="2:7" s="1" customFormat="1" x14ac:dyDescent="0.25">
      <c r="B17" s="1157" t="s">
        <v>284</v>
      </c>
      <c r="C17" s="1158" t="s">
        <v>962</v>
      </c>
      <c r="D17" s="1158" t="s">
        <v>963</v>
      </c>
      <c r="E17" s="1159">
        <v>604</v>
      </c>
      <c r="F17" s="1156"/>
      <c r="G17" s="1144"/>
    </row>
    <row r="18" spans="2:7" s="1" customFormat="1" x14ac:dyDescent="0.25">
      <c r="B18" s="1157" t="s">
        <v>604</v>
      </c>
      <c r="C18" s="1158" t="s">
        <v>964</v>
      </c>
      <c r="D18" s="1158" t="s">
        <v>965</v>
      </c>
      <c r="E18" s="1159">
        <v>938</v>
      </c>
      <c r="F18" s="1156"/>
      <c r="G18" s="1144"/>
    </row>
    <row r="19" spans="2:7" s="1" customFormat="1" x14ac:dyDescent="0.25">
      <c r="B19" s="1157" t="s">
        <v>605</v>
      </c>
      <c r="C19" s="1158" t="s">
        <v>966</v>
      </c>
      <c r="D19" s="1158" t="s">
        <v>965</v>
      </c>
      <c r="E19" s="1159">
        <v>90</v>
      </c>
      <c r="F19" s="1156"/>
      <c r="G19" s="1144"/>
    </row>
    <row r="20" spans="2:7" s="1" customFormat="1" x14ac:dyDescent="0.25">
      <c r="B20" s="1157" t="s">
        <v>967</v>
      </c>
      <c r="C20" s="1158" t="s">
        <v>968</v>
      </c>
      <c r="D20" s="1160" t="s">
        <v>965</v>
      </c>
      <c r="E20" s="1159">
        <v>20.2</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77</v>
      </c>
      <c r="F25" s="1156"/>
      <c r="G25" s="1144"/>
    </row>
    <row r="26" spans="2:7" s="1" customFormat="1" x14ac:dyDescent="0.25">
      <c r="B26" s="1157" t="s">
        <v>977</v>
      </c>
      <c r="C26" s="1158" t="s">
        <v>978</v>
      </c>
      <c r="D26" s="1158" t="s">
        <v>976</v>
      </c>
      <c r="E26" s="1159">
        <v>6205</v>
      </c>
      <c r="F26" s="1156"/>
      <c r="G26" s="1144"/>
    </row>
    <row r="27" spans="2:7" s="1" customFormat="1" x14ac:dyDescent="0.25">
      <c r="B27" s="1157" t="s">
        <v>979</v>
      </c>
      <c r="C27" s="1158" t="s">
        <v>980</v>
      </c>
      <c r="D27" s="1158" t="s">
        <v>976</v>
      </c>
      <c r="E27" s="1159">
        <v>77</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14</v>
      </c>
      <c r="F32" s="1169"/>
      <c r="G32" s="1170"/>
    </row>
    <row r="33" spans="2:7" s="1" customFormat="1" x14ac:dyDescent="0.25">
      <c r="B33" s="1157" t="s">
        <v>141</v>
      </c>
      <c r="C33" s="1171" t="s">
        <v>989</v>
      </c>
      <c r="D33" s="1167" t="s">
        <v>916</v>
      </c>
      <c r="E33" s="1168">
        <v>17</v>
      </c>
      <c r="F33" s="1172"/>
      <c r="G33" s="1173"/>
    </row>
    <row r="34" spans="2:7" s="1" customFormat="1" ht="15.75" thickBot="1" x14ac:dyDescent="0.3">
      <c r="B34" s="1174" t="s">
        <v>302</v>
      </c>
      <c r="C34" s="1175" t="s">
        <v>990</v>
      </c>
      <c r="D34" s="1176" t="s">
        <v>991</v>
      </c>
      <c r="E34" s="1177">
        <v>103</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32</v>
      </c>
      <c r="F36" s="1180"/>
      <c r="G36" s="1181"/>
    </row>
    <row r="37" spans="2:7" s="1" customFormat="1" x14ac:dyDescent="0.25">
      <c r="B37" s="1157" t="s">
        <v>410</v>
      </c>
      <c r="C37" s="1171" t="s">
        <v>994</v>
      </c>
      <c r="D37" s="1158" t="s">
        <v>916</v>
      </c>
      <c r="E37" s="1168">
        <v>32</v>
      </c>
      <c r="F37" s="1172"/>
      <c r="G37" s="1172"/>
    </row>
    <row r="38" spans="2:7" s="1" customFormat="1" x14ac:dyDescent="0.25">
      <c r="B38" s="1182" t="s">
        <v>411</v>
      </c>
      <c r="C38" s="1178" t="s">
        <v>995</v>
      </c>
      <c r="D38" s="1153" t="s">
        <v>742</v>
      </c>
      <c r="E38" s="1155">
        <v>168.24299999999999</v>
      </c>
      <c r="F38" s="1180"/>
      <c r="G38" s="1183"/>
    </row>
    <row r="39" spans="2:7" s="1" customFormat="1" ht="25.5" x14ac:dyDescent="0.25">
      <c r="B39" s="1184" t="s">
        <v>996</v>
      </c>
      <c r="C39" s="1185" t="s">
        <v>997</v>
      </c>
      <c r="D39" s="1158" t="s">
        <v>742</v>
      </c>
      <c r="E39" s="1159">
        <v>168.24299999999999</v>
      </c>
      <c r="F39" s="1358"/>
      <c r="G39" s="1151"/>
    </row>
    <row r="40" spans="2:7" s="1" customFormat="1" x14ac:dyDescent="0.25">
      <c r="B40" s="1184" t="s">
        <v>998</v>
      </c>
      <c r="C40" s="1185" t="s">
        <v>999</v>
      </c>
      <c r="D40" s="1158" t="s">
        <v>742</v>
      </c>
      <c r="E40" s="1159">
        <v>0</v>
      </c>
      <c r="F40" s="1358"/>
      <c r="G40" s="1151"/>
    </row>
    <row r="41" spans="2:7" s="1" customFormat="1" ht="25.5" x14ac:dyDescent="0.25">
      <c r="B41" s="1184" t="s">
        <v>1000</v>
      </c>
      <c r="C41" s="1185" t="s">
        <v>1001</v>
      </c>
      <c r="D41" s="1158" t="s">
        <v>742</v>
      </c>
      <c r="E41" s="1159">
        <v>0</v>
      </c>
      <c r="F41" s="1358"/>
      <c r="G41" s="1151"/>
    </row>
    <row r="42" spans="2:7" s="1" customFormat="1" x14ac:dyDescent="0.25">
      <c r="B42" s="1157" t="s">
        <v>1002</v>
      </c>
      <c r="C42" s="1186" t="s">
        <v>1003</v>
      </c>
      <c r="D42" s="1158" t="s">
        <v>742</v>
      </c>
      <c r="E42" s="1159">
        <v>0</v>
      </c>
      <c r="F42" s="1187"/>
      <c r="G42" s="1151"/>
    </row>
    <row r="43" spans="2:7" s="1" customFormat="1" x14ac:dyDescent="0.25">
      <c r="B43" s="1152" t="s">
        <v>152</v>
      </c>
      <c r="C43" s="1188" t="s">
        <v>1004</v>
      </c>
      <c r="D43" s="1153" t="s">
        <v>742</v>
      </c>
      <c r="E43" s="1155">
        <v>191.041</v>
      </c>
      <c r="F43" s="1151"/>
      <c r="G43" s="1144"/>
    </row>
    <row r="44" spans="2:7" s="1" customFormat="1" x14ac:dyDescent="0.25">
      <c r="B44" s="1152" t="s">
        <v>160</v>
      </c>
      <c r="C44" s="1178" t="s">
        <v>1005</v>
      </c>
      <c r="D44" s="1153" t="s">
        <v>742</v>
      </c>
      <c r="E44" s="1155">
        <v>141.57</v>
      </c>
      <c r="F44" s="1151"/>
      <c r="G44" s="1144"/>
    </row>
    <row r="45" spans="2:7" s="1" customFormat="1" x14ac:dyDescent="0.25">
      <c r="B45" s="1157" t="s">
        <v>412</v>
      </c>
      <c r="C45" s="1171" t="s">
        <v>1006</v>
      </c>
      <c r="D45" s="1158" t="s">
        <v>916</v>
      </c>
      <c r="E45" s="1168">
        <v>2</v>
      </c>
      <c r="F45" s="1151"/>
      <c r="G45" s="1151"/>
    </row>
    <row r="46" spans="2:7" s="1" customFormat="1" x14ac:dyDescent="0.25">
      <c r="B46" s="1157" t="s">
        <v>1007</v>
      </c>
      <c r="C46" s="1171" t="s">
        <v>1008</v>
      </c>
      <c r="D46" s="1158" t="s">
        <v>916</v>
      </c>
      <c r="E46" s="1168">
        <v>2</v>
      </c>
      <c r="F46" s="1172"/>
      <c r="G46" s="1172"/>
    </row>
    <row r="47" spans="2:7" s="1" customFormat="1" x14ac:dyDescent="0.25">
      <c r="B47" s="1157" t="s">
        <v>1009</v>
      </c>
      <c r="C47" s="1189" t="s">
        <v>1010</v>
      </c>
      <c r="D47" s="1190" t="s">
        <v>742</v>
      </c>
      <c r="E47" s="1191">
        <v>141.57</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10</v>
      </c>
      <c r="F50" s="1172"/>
      <c r="G50" s="1172"/>
    </row>
    <row r="51" spans="2:7" s="1" customFormat="1" x14ac:dyDescent="0.25">
      <c r="B51" s="1152" t="s">
        <v>418</v>
      </c>
      <c r="C51" s="1178" t="s">
        <v>1015</v>
      </c>
      <c r="D51" s="1153" t="s">
        <v>916</v>
      </c>
      <c r="E51" s="1179">
        <v>0</v>
      </c>
      <c r="F51" s="1172"/>
      <c r="G51" s="1172"/>
    </row>
    <row r="52" spans="2:7" s="1" customFormat="1" x14ac:dyDescent="0.25">
      <c r="B52" s="1152" t="s">
        <v>419</v>
      </c>
      <c r="C52" s="1178" t="s">
        <v>1016</v>
      </c>
      <c r="D52" s="1153" t="s">
        <v>916</v>
      </c>
      <c r="E52" s="1179">
        <v>0</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22</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45</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14</v>
      </c>
      <c r="F58" s="1151"/>
      <c r="G58" s="1151"/>
    </row>
    <row r="59" spans="2:7" s="1" customFormat="1" x14ac:dyDescent="0.25">
      <c r="B59" s="1157" t="s">
        <v>69</v>
      </c>
      <c r="C59" s="1158" t="s">
        <v>1022</v>
      </c>
      <c r="D59" s="1158" t="s">
        <v>916</v>
      </c>
      <c r="E59" s="1168">
        <v>1</v>
      </c>
      <c r="F59" s="1151"/>
      <c r="G59" s="1151"/>
    </row>
    <row r="60" spans="2:7" s="1" customFormat="1" x14ac:dyDescent="0.25">
      <c r="B60" s="1157" t="s">
        <v>71</v>
      </c>
      <c r="C60" s="1158" t="s">
        <v>1023</v>
      </c>
      <c r="D60" s="1158" t="s">
        <v>916</v>
      </c>
      <c r="E60" s="1168">
        <v>2</v>
      </c>
      <c r="F60" s="1151"/>
      <c r="G60" s="1151"/>
    </row>
    <row r="61" spans="2:7" s="1" customFormat="1" x14ac:dyDescent="0.25">
      <c r="B61" s="1152" t="s">
        <v>73</v>
      </c>
      <c r="C61" s="1153" t="s">
        <v>1024</v>
      </c>
      <c r="D61" s="1193" t="s">
        <v>736</v>
      </c>
      <c r="E61" s="1155">
        <v>29</v>
      </c>
      <c r="F61" s="1194"/>
      <c r="G61" s="1151"/>
    </row>
    <row r="62" spans="2:7" s="1" customFormat="1" x14ac:dyDescent="0.25">
      <c r="B62" s="1157" t="s">
        <v>75</v>
      </c>
      <c r="C62" s="1158" t="s">
        <v>1025</v>
      </c>
      <c r="D62" s="1195" t="s">
        <v>1026</v>
      </c>
      <c r="E62" s="1196">
        <f>SUM(E63:E64)</f>
        <v>85.462000000000003</v>
      </c>
      <c r="F62" s="1192"/>
      <c r="G62" s="1192"/>
    </row>
    <row r="63" spans="2:7" s="1" customFormat="1" x14ac:dyDescent="0.25">
      <c r="B63" s="1197" t="s">
        <v>801</v>
      </c>
      <c r="C63" s="1189" t="s">
        <v>1027</v>
      </c>
      <c r="D63" s="1190" t="s">
        <v>1026</v>
      </c>
      <c r="E63" s="1191">
        <v>85.462000000000003</v>
      </c>
      <c r="F63" s="1192"/>
      <c r="G63" s="1192"/>
    </row>
    <row r="64" spans="2:7" s="1" customFormat="1" x14ac:dyDescent="0.25">
      <c r="B64" s="1197" t="s">
        <v>1028</v>
      </c>
      <c r="C64" s="1189" t="s">
        <v>1029</v>
      </c>
      <c r="D64" s="1190" t="s">
        <v>1026</v>
      </c>
      <c r="E64" s="1191">
        <v>0</v>
      </c>
      <c r="F64" s="1151"/>
      <c r="G64" s="1151"/>
    </row>
    <row r="65" spans="2:7" s="1" customFormat="1" x14ac:dyDescent="0.25">
      <c r="B65" s="1157" t="s">
        <v>466</v>
      </c>
      <c r="C65" s="1158" t="s">
        <v>1030</v>
      </c>
      <c r="D65" s="1158" t="s">
        <v>916</v>
      </c>
      <c r="E65" s="1168">
        <v>1974</v>
      </c>
      <c r="F65" s="1151"/>
      <c r="G65" s="1151"/>
    </row>
    <row r="66" spans="2:7" s="1" customFormat="1" x14ac:dyDescent="0.25">
      <c r="B66" s="1157" t="s">
        <v>470</v>
      </c>
      <c r="C66" s="1158" t="s">
        <v>1031</v>
      </c>
      <c r="D66" s="1158" t="s">
        <v>916</v>
      </c>
      <c r="E66" s="1168">
        <v>132</v>
      </c>
      <c r="F66" s="1151"/>
      <c r="G66" s="1151"/>
    </row>
    <row r="67" spans="2:7" s="1" customFormat="1" x14ac:dyDescent="0.25">
      <c r="B67" s="1157" t="s">
        <v>474</v>
      </c>
      <c r="C67" s="1158" t="s">
        <v>1032</v>
      </c>
      <c r="D67" s="1158" t="s">
        <v>916</v>
      </c>
      <c r="E67" s="1168">
        <v>1</v>
      </c>
      <c r="F67" s="1151"/>
      <c r="G67" s="1151"/>
    </row>
    <row r="68" spans="2:7" s="1" customFormat="1" x14ac:dyDescent="0.25">
      <c r="B68" s="1157" t="s">
        <v>478</v>
      </c>
      <c r="C68" s="1158" t="s">
        <v>1033</v>
      </c>
      <c r="D68" s="1158" t="s">
        <v>916</v>
      </c>
      <c r="E68" s="1168">
        <v>79</v>
      </c>
      <c r="F68" s="1194"/>
      <c r="G68" s="1151"/>
    </row>
    <row r="69" spans="2:7" s="1" customFormat="1" x14ac:dyDescent="0.25">
      <c r="B69" s="1157" t="s">
        <v>494</v>
      </c>
      <c r="C69" s="1158" t="s">
        <v>1034</v>
      </c>
      <c r="D69" s="1158" t="s">
        <v>916</v>
      </c>
      <c r="E69" s="1198">
        <f>SUM(E70:E72)</f>
        <v>3068</v>
      </c>
      <c r="F69" s="1192"/>
      <c r="G69" s="1192"/>
    </row>
    <row r="70" spans="2:7" s="1" customFormat="1" x14ac:dyDescent="0.25">
      <c r="B70" s="1197" t="s">
        <v>1035</v>
      </c>
      <c r="C70" s="1189" t="s">
        <v>1036</v>
      </c>
      <c r="D70" s="1190" t="s">
        <v>916</v>
      </c>
      <c r="E70" s="1199">
        <v>1765</v>
      </c>
      <c r="F70" s="1192"/>
      <c r="G70" s="1192"/>
    </row>
    <row r="71" spans="2:7" s="1" customFormat="1" x14ac:dyDescent="0.25">
      <c r="B71" s="1197" t="s">
        <v>1037</v>
      </c>
      <c r="C71" s="1189" t="s">
        <v>1038</v>
      </c>
      <c r="D71" s="1190" t="s">
        <v>916</v>
      </c>
      <c r="E71" s="1199">
        <v>1139</v>
      </c>
      <c r="F71" s="1192"/>
      <c r="G71" s="1192"/>
    </row>
    <row r="72" spans="2:7" s="1" customFormat="1" x14ac:dyDescent="0.25">
      <c r="B72" s="1197" t="s">
        <v>1039</v>
      </c>
      <c r="C72" s="1189" t="s">
        <v>1040</v>
      </c>
      <c r="D72" s="1190" t="s">
        <v>916</v>
      </c>
      <c r="E72" s="1199">
        <v>164</v>
      </c>
      <c r="F72" s="1151"/>
      <c r="G72" s="1151"/>
    </row>
    <row r="73" spans="2:7" s="1" customFormat="1" x14ac:dyDescent="0.25">
      <c r="B73" s="1157" t="s">
        <v>495</v>
      </c>
      <c r="C73" s="1158" t="s">
        <v>1041</v>
      </c>
      <c r="D73" s="1158" t="s">
        <v>916</v>
      </c>
      <c r="E73" s="1168">
        <v>1084</v>
      </c>
      <c r="F73" s="1151"/>
      <c r="G73" s="1151"/>
    </row>
    <row r="74" spans="2:7" s="1" customFormat="1" ht="15.75" thickBot="1" x14ac:dyDescent="0.3">
      <c r="B74" s="1161" t="s">
        <v>631</v>
      </c>
      <c r="C74" s="1162" t="s">
        <v>1042</v>
      </c>
      <c r="D74" s="1162" t="s">
        <v>916</v>
      </c>
      <c r="E74" s="1200">
        <v>7</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4</v>
      </c>
      <c r="F76" s="1156"/>
      <c r="G76" s="1156"/>
    </row>
    <row r="77" spans="2:7" s="1" customFormat="1" x14ac:dyDescent="0.25">
      <c r="B77" s="1157" t="s">
        <v>171</v>
      </c>
      <c r="C77" s="1158" t="s">
        <v>1045</v>
      </c>
      <c r="D77" s="1158" t="s">
        <v>916</v>
      </c>
      <c r="E77" s="1168">
        <v>26</v>
      </c>
      <c r="F77" s="1156"/>
      <c r="G77" s="1156"/>
    </row>
    <row r="78" spans="2:7" s="1" customFormat="1" x14ac:dyDescent="0.25">
      <c r="B78" s="1157" t="s">
        <v>173</v>
      </c>
      <c r="C78" s="1158" t="s">
        <v>1046</v>
      </c>
      <c r="D78" s="1158" t="s">
        <v>916</v>
      </c>
      <c r="E78" s="1168">
        <v>52</v>
      </c>
      <c r="F78" s="1156"/>
      <c r="G78" s="1156"/>
    </row>
    <row r="79" spans="2:7" s="1" customFormat="1" x14ac:dyDescent="0.25">
      <c r="B79" s="1152" t="s">
        <v>175</v>
      </c>
      <c r="C79" s="1153" t="s">
        <v>1047</v>
      </c>
      <c r="D79" s="1193" t="s">
        <v>736</v>
      </c>
      <c r="E79" s="1155">
        <v>17</v>
      </c>
      <c r="F79" s="1156"/>
      <c r="G79" s="1156"/>
    </row>
    <row r="80" spans="2:7" s="1" customFormat="1" x14ac:dyDescent="0.25">
      <c r="B80" s="1157" t="s">
        <v>177</v>
      </c>
      <c r="C80" s="1158" t="s">
        <v>1048</v>
      </c>
      <c r="D80" s="1158" t="s">
        <v>1026</v>
      </c>
      <c r="E80" s="1159">
        <v>51.8</v>
      </c>
      <c r="F80" s="1202"/>
      <c r="G80" s="1202"/>
    </row>
    <row r="81" spans="2:7" s="1" customFormat="1" x14ac:dyDescent="0.25">
      <c r="B81" s="1197" t="s">
        <v>648</v>
      </c>
      <c r="C81" s="1189" t="s">
        <v>1049</v>
      </c>
      <c r="D81" s="1190" t="s">
        <v>1026</v>
      </c>
      <c r="E81" s="1191">
        <v>4</v>
      </c>
      <c r="F81" s="1156"/>
      <c r="G81" s="1156"/>
    </row>
    <row r="82" spans="2:7" s="1" customFormat="1" x14ac:dyDescent="0.25">
      <c r="B82" s="1157" t="s">
        <v>179</v>
      </c>
      <c r="C82" s="1158" t="s">
        <v>1050</v>
      </c>
      <c r="D82" s="1158" t="s">
        <v>916</v>
      </c>
      <c r="E82" s="1168">
        <v>1249</v>
      </c>
      <c r="F82" s="1156"/>
      <c r="G82" s="1156"/>
    </row>
    <row r="83" spans="2:7" s="1" customFormat="1" x14ac:dyDescent="0.25">
      <c r="B83" s="1157" t="s">
        <v>181</v>
      </c>
      <c r="C83" s="1158" t="s">
        <v>1051</v>
      </c>
      <c r="D83" s="1158" t="s">
        <v>916</v>
      </c>
      <c r="E83" s="1198">
        <f>SUM(E84:E86)</f>
        <v>2037</v>
      </c>
      <c r="F83" s="1156"/>
      <c r="G83" s="1156"/>
    </row>
    <row r="84" spans="2:7" s="1" customFormat="1" x14ac:dyDescent="0.25">
      <c r="B84" s="1197" t="s">
        <v>513</v>
      </c>
      <c r="C84" s="1189" t="s">
        <v>1052</v>
      </c>
      <c r="D84" s="1190" t="s">
        <v>916</v>
      </c>
      <c r="E84" s="1199">
        <v>917</v>
      </c>
      <c r="F84" s="1202"/>
      <c r="G84" s="1202"/>
    </row>
    <row r="85" spans="2:7" s="1" customFormat="1" x14ac:dyDescent="0.25">
      <c r="B85" s="1197" t="s">
        <v>514</v>
      </c>
      <c r="C85" s="1189" t="s">
        <v>1053</v>
      </c>
      <c r="D85" s="1190" t="s">
        <v>916</v>
      </c>
      <c r="E85" s="1199">
        <v>1031</v>
      </c>
      <c r="F85" s="1202"/>
      <c r="G85" s="1202"/>
    </row>
    <row r="86" spans="2:7" s="1" customFormat="1" x14ac:dyDescent="0.25">
      <c r="B86" s="1197" t="s">
        <v>515</v>
      </c>
      <c r="C86" s="1189" t="s">
        <v>1054</v>
      </c>
      <c r="D86" s="1190" t="s">
        <v>916</v>
      </c>
      <c r="E86" s="1199">
        <v>89</v>
      </c>
      <c r="F86" s="1156"/>
      <c r="G86" s="1156"/>
    </row>
    <row r="87" spans="2:7" s="1" customFormat="1" ht="15.75" thickBot="1" x14ac:dyDescent="0.3">
      <c r="B87" s="1161" t="s">
        <v>183</v>
      </c>
      <c r="C87" s="1162" t="s">
        <v>1055</v>
      </c>
      <c r="D87" s="1162" t="s">
        <v>916</v>
      </c>
      <c r="E87" s="1200">
        <v>8</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0</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0</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0</v>
      </c>
      <c r="F95" s="1156"/>
      <c r="G95" s="1156"/>
    </row>
    <row r="96" spans="2:7" s="1" customFormat="1" x14ac:dyDescent="0.25">
      <c r="B96" s="1157" t="s">
        <v>660</v>
      </c>
      <c r="C96" s="1158" t="s">
        <v>1064</v>
      </c>
      <c r="D96" s="1158" t="s">
        <v>916</v>
      </c>
      <c r="E96" s="1168">
        <v>0</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0</v>
      </c>
      <c r="F99" s="1203"/>
      <c r="G99" s="1203"/>
    </row>
    <row r="100" spans="2:7" s="1" customFormat="1" x14ac:dyDescent="0.25">
      <c r="B100" s="1157" t="s">
        <v>85</v>
      </c>
      <c r="C100" s="1206" t="s">
        <v>1068</v>
      </c>
      <c r="D100" s="1158" t="s">
        <v>1069</v>
      </c>
      <c r="E100" s="1168">
        <v>0</v>
      </c>
      <c r="F100" s="1156"/>
      <c r="G100" s="1156"/>
    </row>
    <row r="101" spans="2:7" s="1" customFormat="1" x14ac:dyDescent="0.25">
      <c r="B101" s="1157" t="s">
        <v>1070</v>
      </c>
      <c r="C101" s="1207" t="s">
        <v>1071</v>
      </c>
      <c r="D101" s="1158" t="s">
        <v>742</v>
      </c>
      <c r="E101" s="1159">
        <v>0</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3</v>
      </c>
      <c r="F104" s="1156"/>
      <c r="G104" s="1156"/>
    </row>
    <row r="105" spans="2:7" s="1" customFormat="1" x14ac:dyDescent="0.25">
      <c r="B105" s="1157" t="s">
        <v>1078</v>
      </c>
      <c r="C105" s="1207" t="s">
        <v>1079</v>
      </c>
      <c r="D105" s="1158" t="s">
        <v>742</v>
      </c>
      <c r="E105" s="1159">
        <v>226.7</v>
      </c>
      <c r="F105" s="1203"/>
      <c r="G105" s="1203"/>
    </row>
    <row r="106" spans="2:7" s="1" customFormat="1" x14ac:dyDescent="0.25">
      <c r="B106" s="1157" t="s">
        <v>1080</v>
      </c>
      <c r="C106" s="1206" t="s">
        <v>1081</v>
      </c>
      <c r="D106" s="1158" t="s">
        <v>916</v>
      </c>
      <c r="E106" s="1168">
        <v>0</v>
      </c>
      <c r="F106" s="1208"/>
      <c r="G106" s="1203"/>
    </row>
    <row r="107" spans="2:7" s="1" customFormat="1" x14ac:dyDescent="0.25">
      <c r="B107" s="1157" t="s">
        <v>1082</v>
      </c>
      <c r="C107" s="1207" t="s">
        <v>1083</v>
      </c>
      <c r="D107" s="1158" t="s">
        <v>742</v>
      </c>
      <c r="E107" s="1159">
        <v>0</v>
      </c>
      <c r="F107" s="1181"/>
      <c r="G107" s="1181"/>
    </row>
    <row r="108" spans="2:7" s="1" customFormat="1" x14ac:dyDescent="0.25">
      <c r="B108" s="1157" t="s">
        <v>1084</v>
      </c>
      <c r="C108" s="1207" t="s">
        <v>1085</v>
      </c>
      <c r="D108" s="1158" t="s">
        <v>916</v>
      </c>
      <c r="E108" s="1168">
        <v>9</v>
      </c>
      <c r="F108" s="1202"/>
      <c r="G108" s="1202"/>
    </row>
    <row r="109" spans="2:7" s="1" customFormat="1" x14ac:dyDescent="0.25">
      <c r="B109" s="1157" t="s">
        <v>1086</v>
      </c>
      <c r="C109" s="1207" t="s">
        <v>1087</v>
      </c>
      <c r="D109" s="1158" t="s">
        <v>916</v>
      </c>
      <c r="E109" s="1168">
        <v>14</v>
      </c>
      <c r="F109" s="1202"/>
      <c r="G109" s="1202"/>
    </row>
    <row r="110" spans="2:7" s="1" customFormat="1" x14ac:dyDescent="0.25">
      <c r="B110" s="1209" t="s">
        <v>1088</v>
      </c>
      <c r="C110" s="1210" t="s">
        <v>1089</v>
      </c>
      <c r="D110" s="1160" t="s">
        <v>916</v>
      </c>
      <c r="E110" s="1211">
        <v>34</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287.71699999999998</v>
      </c>
      <c r="F112" s="1203"/>
      <c r="G112" s="1203"/>
    </row>
    <row r="113" spans="2:7" s="1" customFormat="1" x14ac:dyDescent="0.25">
      <c r="B113" s="1157" t="s">
        <v>1094</v>
      </c>
      <c r="C113" s="1206" t="s">
        <v>1095</v>
      </c>
      <c r="D113" s="1158" t="s">
        <v>965</v>
      </c>
      <c r="E113" s="1159">
        <v>228.71700000000001</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82.887</v>
      </c>
      <c r="F115" s="1203"/>
      <c r="G115" s="1203"/>
    </row>
    <row r="116" spans="2:7" s="1" customFormat="1" x14ac:dyDescent="0.25">
      <c r="B116" s="1209" t="s">
        <v>1100</v>
      </c>
      <c r="C116" s="1218" t="s">
        <v>1101</v>
      </c>
      <c r="D116" s="1160" t="s">
        <v>965</v>
      </c>
      <c r="E116" s="1219">
        <v>7.7130000000000001</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3.5550000000000002</v>
      </c>
      <c r="F118" s="1203"/>
      <c r="G118" s="1203"/>
    </row>
    <row r="119" spans="2:7" s="1" customFormat="1" x14ac:dyDescent="0.25">
      <c r="B119" s="1157" t="s">
        <v>1106</v>
      </c>
      <c r="C119" s="1206" t="s">
        <v>1095</v>
      </c>
      <c r="D119" s="1158" t="s">
        <v>965</v>
      </c>
      <c r="E119" s="1159">
        <v>8.5</v>
      </c>
      <c r="F119" s="1203"/>
      <c r="G119" s="1203"/>
    </row>
    <row r="120" spans="2:7" s="1" customFormat="1" x14ac:dyDescent="0.25">
      <c r="B120" s="1157" t="s">
        <v>1107</v>
      </c>
      <c r="C120" s="1206" t="s">
        <v>1097</v>
      </c>
      <c r="D120" s="1158" t="s">
        <v>965</v>
      </c>
      <c r="E120" s="1159">
        <v>0</v>
      </c>
      <c r="F120" s="1203"/>
      <c r="G120" s="1203"/>
    </row>
    <row r="121" spans="2:7" s="1" customFormat="1" x14ac:dyDescent="0.25">
      <c r="B121" s="1157" t="s">
        <v>1108</v>
      </c>
      <c r="C121" s="1206" t="s">
        <v>1099</v>
      </c>
      <c r="D121" s="1158" t="s">
        <v>965</v>
      </c>
      <c r="E121" s="1159">
        <v>10.1</v>
      </c>
      <c r="F121" s="1203"/>
      <c r="G121" s="1203"/>
    </row>
    <row r="122" spans="2:7" s="1" customFormat="1" x14ac:dyDescent="0.25">
      <c r="B122" s="1157" t="s">
        <v>1109</v>
      </c>
      <c r="C122" s="1206" t="s">
        <v>1101</v>
      </c>
      <c r="D122" s="1158" t="s">
        <v>965</v>
      </c>
      <c r="E122" s="1159">
        <v>1.49</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64.419525399999998</v>
      </c>
      <c r="F129" s="1156"/>
      <c r="G129" s="1156"/>
    </row>
    <row r="130" spans="2:7" s="1" customFormat="1" ht="15.75" thickBot="1" x14ac:dyDescent="0.3">
      <c r="B130" s="1224" t="s">
        <v>1123</v>
      </c>
      <c r="C130" s="1225" t="s">
        <v>1124</v>
      </c>
      <c r="D130" s="1162" t="s">
        <v>742</v>
      </c>
      <c r="E130" s="1226">
        <f>VAS077_F_Isvalytasbuiti1AtaskaitinisLaikotarpis</f>
        <v>226.7</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0</v>
      </c>
      <c r="F136" s="1156"/>
      <c r="G136" s="1156"/>
    </row>
    <row r="137" spans="2:7" s="1" customFormat="1" x14ac:dyDescent="0.25">
      <c r="B137" s="1157" t="s">
        <v>1135</v>
      </c>
      <c r="C137" s="1206" t="s">
        <v>1095</v>
      </c>
      <c r="D137" s="1158" t="s">
        <v>965</v>
      </c>
      <c r="E137" s="1159">
        <v>0</v>
      </c>
      <c r="F137" s="1156"/>
      <c r="G137" s="1156"/>
    </row>
    <row r="138" spans="2:7" s="1" customFormat="1" x14ac:dyDescent="0.25">
      <c r="B138" s="1157" t="s">
        <v>1136</v>
      </c>
      <c r="C138" s="1206" t="s">
        <v>1137</v>
      </c>
      <c r="D138" s="1158" t="s">
        <v>965</v>
      </c>
      <c r="E138" s="1159">
        <v>0</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0</v>
      </c>
      <c r="F140" s="1156"/>
      <c r="G140" s="1156"/>
    </row>
    <row r="141" spans="2:7" s="1" customFormat="1" x14ac:dyDescent="0.25">
      <c r="B141" s="1157" t="s">
        <v>1141</v>
      </c>
      <c r="C141" s="1206" t="s">
        <v>1095</v>
      </c>
      <c r="D141" s="1158" t="s">
        <v>965</v>
      </c>
      <c r="E141" s="1159">
        <v>0</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3.9</v>
      </c>
      <c r="F146" s="1201"/>
      <c r="G146" s="1201"/>
    </row>
    <row r="147" spans="2:7" s="1" customFormat="1" x14ac:dyDescent="0.25">
      <c r="B147" s="1157" t="s">
        <v>1147</v>
      </c>
      <c r="C147" s="1234" t="s">
        <v>1148</v>
      </c>
      <c r="D147" s="1235" t="s">
        <v>904</v>
      </c>
      <c r="E147" s="1236">
        <v>0.98</v>
      </c>
      <c r="F147" s="1201"/>
      <c r="G147" s="1201"/>
    </row>
    <row r="148" spans="2:7" s="1" customFormat="1" x14ac:dyDescent="0.25">
      <c r="B148" s="1157" t="s">
        <v>1149</v>
      </c>
      <c r="C148" s="1234" t="s">
        <v>1150</v>
      </c>
      <c r="D148" s="1158" t="s">
        <v>1151</v>
      </c>
      <c r="E148" s="1159">
        <v>0.5</v>
      </c>
      <c r="F148" s="1201"/>
      <c r="G148" s="1201"/>
    </row>
    <row r="149" spans="2:7" s="1" customFormat="1" ht="15.75" thickBot="1" x14ac:dyDescent="0.3">
      <c r="B149" s="1237" t="s">
        <v>1152</v>
      </c>
      <c r="C149" s="1238" t="s">
        <v>1153</v>
      </c>
      <c r="D149" s="1239" t="s">
        <v>916</v>
      </c>
      <c r="E149" s="1240">
        <v>1</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3.9</v>
      </c>
      <c r="F151" s="1202"/>
      <c r="G151" s="1202"/>
    </row>
    <row r="152" spans="2:7" s="1" customFormat="1" x14ac:dyDescent="0.25">
      <c r="B152" s="1157" t="s">
        <v>1158</v>
      </c>
      <c r="C152" s="1234" t="s">
        <v>1159</v>
      </c>
      <c r="D152" s="1235" t="s">
        <v>904</v>
      </c>
      <c r="E152" s="1236">
        <v>0.88</v>
      </c>
      <c r="F152" s="1156"/>
      <c r="G152" s="1156"/>
    </row>
    <row r="153" spans="2:7" s="1" customFormat="1" x14ac:dyDescent="0.25">
      <c r="B153" s="1216" t="s">
        <v>1160</v>
      </c>
      <c r="C153" s="1245" t="s">
        <v>1161</v>
      </c>
      <c r="D153" s="1239" t="s">
        <v>1151</v>
      </c>
      <c r="E153" s="1159">
        <v>0.5</v>
      </c>
      <c r="F153" s="1156"/>
      <c r="G153" s="1156"/>
    </row>
    <row r="154" spans="2:7" s="1" customFormat="1" ht="15.75" thickBot="1" x14ac:dyDescent="0.3">
      <c r="B154" s="1209" t="s">
        <v>1162</v>
      </c>
      <c r="C154" s="1246" t="s">
        <v>1163</v>
      </c>
      <c r="D154" s="1160" t="s">
        <v>916</v>
      </c>
      <c r="E154" s="1211">
        <v>1</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159">
        <v>0</v>
      </c>
      <c r="F158" s="1156"/>
      <c r="G158" s="1156"/>
    </row>
    <row r="159" spans="2:7" s="1" customFormat="1" ht="15.75" thickBot="1" x14ac:dyDescent="0.3">
      <c r="B159" s="1209" t="s">
        <v>1172</v>
      </c>
      <c r="C159" s="1246" t="s">
        <v>1173</v>
      </c>
      <c r="D159" s="1160" t="s">
        <v>916</v>
      </c>
      <c r="E159" s="1211">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159">
        <v>0</v>
      </c>
      <c r="F168" s="1156"/>
      <c r="G168" s="1156"/>
    </row>
    <row r="169" spans="2:7" s="1" customFormat="1" ht="15.75" thickBot="1" x14ac:dyDescent="0.3">
      <c r="B169" s="1209" t="s">
        <v>1193</v>
      </c>
      <c r="C169" s="1246" t="s">
        <v>1194</v>
      </c>
      <c r="D169" s="1160" t="s">
        <v>916</v>
      </c>
      <c r="E169" s="1211">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v>
      </c>
      <c r="F171" s="1156"/>
      <c r="G171" s="1156"/>
    </row>
    <row r="172" spans="2:7" s="1" customFormat="1" x14ac:dyDescent="0.25">
      <c r="B172" s="1157" t="s">
        <v>1199</v>
      </c>
      <c r="C172" s="1254" t="s">
        <v>1200</v>
      </c>
      <c r="D172" s="1235" t="s">
        <v>904</v>
      </c>
      <c r="E172" s="1236">
        <v>0</v>
      </c>
      <c r="F172" s="1156"/>
      <c r="G172" s="1156"/>
    </row>
    <row r="173" spans="2:7" s="1" customFormat="1" x14ac:dyDescent="0.25">
      <c r="B173" s="1157" t="s">
        <v>1201</v>
      </c>
      <c r="C173" s="1254" t="s">
        <v>1202</v>
      </c>
      <c r="D173" s="1195" t="s">
        <v>1151</v>
      </c>
      <c r="E173" s="1159">
        <v>0</v>
      </c>
      <c r="F173" s="1156"/>
      <c r="G173" s="1156"/>
    </row>
    <row r="174" spans="2:7" s="1" customFormat="1" x14ac:dyDescent="0.25">
      <c r="B174" s="1157" t="s">
        <v>1203</v>
      </c>
      <c r="C174" s="1255" t="s">
        <v>1204</v>
      </c>
      <c r="D174" s="1239" t="s">
        <v>1151</v>
      </c>
      <c r="E174" s="1159">
        <v>0</v>
      </c>
      <c r="F174" s="1156"/>
      <c r="G174" s="1156"/>
    </row>
    <row r="175" spans="2:7" s="1" customFormat="1" ht="15.75" thickBot="1" x14ac:dyDescent="0.3">
      <c r="B175" s="1209" t="s">
        <v>1205</v>
      </c>
      <c r="C175" s="1246" t="s">
        <v>1153</v>
      </c>
      <c r="D175" s="1160" t="s">
        <v>916</v>
      </c>
      <c r="E175" s="1211">
        <v>0</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200">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8</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1</v>
      </c>
      <c r="F187" s="1203"/>
      <c r="G187" s="1203"/>
    </row>
    <row r="188" spans="2:7" s="1" customFormat="1" x14ac:dyDescent="0.25">
      <c r="B188" s="1157" t="s">
        <v>1227</v>
      </c>
      <c r="C188" s="1171" t="s">
        <v>1228</v>
      </c>
      <c r="D188" s="1262" t="s">
        <v>916</v>
      </c>
      <c r="E188" s="1168">
        <v>1</v>
      </c>
      <c r="F188" s="1203"/>
      <c r="G188" s="1203"/>
    </row>
    <row r="189" spans="2:7" s="1" customFormat="1" x14ac:dyDescent="0.25">
      <c r="B189" s="1157" t="s">
        <v>1229</v>
      </c>
      <c r="C189" s="1171" t="s">
        <v>1230</v>
      </c>
      <c r="D189" s="1262" t="s">
        <v>916</v>
      </c>
      <c r="E189" s="1168">
        <v>2</v>
      </c>
      <c r="F189" s="1203"/>
      <c r="G189" s="1203"/>
    </row>
    <row r="190" spans="2:7" s="1" customFormat="1" x14ac:dyDescent="0.25">
      <c r="B190" s="1157" t="s">
        <v>1231</v>
      </c>
      <c r="C190" s="1171" t="s">
        <v>1232</v>
      </c>
      <c r="D190" s="1262" t="s">
        <v>916</v>
      </c>
      <c r="E190" s="1198">
        <f>SUM(E191:E195)</f>
        <v>4</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1</v>
      </c>
      <c r="F193" s="1203"/>
      <c r="G193" s="1203"/>
    </row>
    <row r="194" spans="2:7" s="1" customFormat="1" x14ac:dyDescent="0.25">
      <c r="B194" s="1197" t="s">
        <v>1239</v>
      </c>
      <c r="C194" s="1189" t="s">
        <v>1240</v>
      </c>
      <c r="D194" s="1235" t="s">
        <v>916</v>
      </c>
      <c r="E194" s="1199">
        <v>1</v>
      </c>
      <c r="F194" s="1203"/>
      <c r="G194" s="1203"/>
    </row>
    <row r="195" spans="2:7" s="1" customFormat="1" ht="15.75" thickBot="1" x14ac:dyDescent="0.3">
      <c r="B195" s="1263" t="s">
        <v>1241</v>
      </c>
      <c r="C195" s="1264" t="s">
        <v>1242</v>
      </c>
      <c r="D195" s="1265" t="s">
        <v>916</v>
      </c>
      <c r="E195" s="1266">
        <v>2</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hUB5AtILM+2djQqO+le447YgN0iAcg1hy9E2qXuC30a5j2ZYTTSDcvwCPds96nUKMjF6dUO6FVYRP6mBysLaug==" saltValue="eTXuPP8Cj7c4qsHeMX6r75eeAfp/T29NmgtUwn9BkxHhMR5Dyhw5T3mLfgN241cFTe9W1iTQWXKvw8GFEEPltA=="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zoomScale="93" zoomScaleNormal="93" workbookViewId="0">
      <selection activeCell="D19" sqref="D19:D31"/>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9335.2919999999995</v>
      </c>
    </row>
    <row r="13" spans="1:4" s="1" customFormat="1" x14ac:dyDescent="0.25">
      <c r="B13" s="39" t="s">
        <v>53</v>
      </c>
      <c r="C13" s="39" t="s">
        <v>54</v>
      </c>
      <c r="D13" s="38">
        <v>252.83099999999999</v>
      </c>
    </row>
    <row r="14" spans="1:4" s="1" customFormat="1" ht="17.25" customHeight="1" x14ac:dyDescent="0.25">
      <c r="B14" s="39" t="s">
        <v>55</v>
      </c>
      <c r="C14" s="39" t="s">
        <v>56</v>
      </c>
      <c r="D14" s="38">
        <v>124.455</v>
      </c>
    </row>
    <row r="15" spans="1:4" s="1" customFormat="1" x14ac:dyDescent="0.25">
      <c r="B15" s="39" t="s">
        <v>57</v>
      </c>
      <c r="C15" s="39" t="s">
        <v>58</v>
      </c>
      <c r="D15" s="38">
        <v>124.455</v>
      </c>
    </row>
    <row r="16" spans="1:4" s="1" customFormat="1" ht="20.25" customHeight="1" thickBot="1" x14ac:dyDescent="0.3">
      <c r="B16" s="40" t="s">
        <v>59</v>
      </c>
      <c r="C16" s="40" t="s">
        <v>60</v>
      </c>
      <c r="D16" s="38">
        <v>1.675</v>
      </c>
    </row>
    <row r="17" spans="2:5" s="1" customFormat="1" ht="16.5" thickTop="1" thickBot="1" x14ac:dyDescent="0.3">
      <c r="B17" s="41"/>
      <c r="C17" s="41" t="s">
        <v>61</v>
      </c>
      <c r="D17" s="42">
        <f>SUM(D12:D13,D16)</f>
        <v>9589.7979999999989</v>
      </c>
      <c r="E17" s="43"/>
    </row>
    <row r="18" spans="2:5" s="1" customFormat="1" ht="15.75" thickBot="1" x14ac:dyDescent="0.3">
      <c r="B18" s="33"/>
      <c r="C18" s="33" t="s">
        <v>62</v>
      </c>
      <c r="D18" s="44"/>
    </row>
    <row r="19" spans="2:5" s="1" customFormat="1" x14ac:dyDescent="0.25">
      <c r="B19" s="37" t="s">
        <v>63</v>
      </c>
      <c r="C19" s="37" t="s">
        <v>64</v>
      </c>
      <c r="D19" s="38">
        <v>1525.2930000000001</v>
      </c>
    </row>
    <row r="20" spans="2:5" s="1" customFormat="1" x14ac:dyDescent="0.25">
      <c r="B20" s="39" t="s">
        <v>65</v>
      </c>
      <c r="C20" s="39" t="s">
        <v>66</v>
      </c>
      <c r="D20" s="38">
        <v>1650.0830000000001</v>
      </c>
    </row>
    <row r="21" spans="2:5" s="1" customFormat="1" ht="21" customHeight="1" x14ac:dyDescent="0.25">
      <c r="B21" s="39" t="s">
        <v>67</v>
      </c>
      <c r="C21" s="39" t="s">
        <v>68</v>
      </c>
      <c r="D21" s="38">
        <v>1650.0830000000001</v>
      </c>
    </row>
    <row r="22" spans="2:5" s="1" customFormat="1" x14ac:dyDescent="0.25">
      <c r="B22" s="39" t="s">
        <v>69</v>
      </c>
      <c r="C22" s="39" t="s">
        <v>70</v>
      </c>
      <c r="D22" s="38">
        <v>0.113</v>
      </c>
    </row>
    <row r="23" spans="2:5" s="1" customFormat="1" x14ac:dyDescent="0.25">
      <c r="B23" s="39" t="s">
        <v>71</v>
      </c>
      <c r="C23" s="39" t="s">
        <v>72</v>
      </c>
      <c r="D23" s="38">
        <v>16.806999999999999</v>
      </c>
    </row>
    <row r="24" spans="2:5" s="1" customFormat="1" x14ac:dyDescent="0.25">
      <c r="B24" s="39" t="s">
        <v>73</v>
      </c>
      <c r="C24" s="39" t="s">
        <v>74</v>
      </c>
      <c r="D24" s="38">
        <v>7.1159999999999997</v>
      </c>
    </row>
    <row r="25" spans="2:5" s="1" customFormat="1" x14ac:dyDescent="0.25">
      <c r="B25" s="39" t="s">
        <v>75</v>
      </c>
      <c r="C25" s="39" t="s">
        <v>76</v>
      </c>
      <c r="D25" s="38">
        <v>-148.82599999999999</v>
      </c>
    </row>
    <row r="26" spans="2:5" s="1" customFormat="1" x14ac:dyDescent="0.25">
      <c r="B26" s="39" t="s">
        <v>77</v>
      </c>
      <c r="C26" s="39" t="s">
        <v>78</v>
      </c>
      <c r="D26" s="38">
        <v>7028.5860000000002</v>
      </c>
    </row>
    <row r="27" spans="2:5" s="1" customFormat="1" x14ac:dyDescent="0.25">
      <c r="B27" s="39" t="s">
        <v>79</v>
      </c>
      <c r="C27" s="39" t="s">
        <v>80</v>
      </c>
      <c r="D27" s="38">
        <v>0</v>
      </c>
    </row>
    <row r="28" spans="2:5" s="1" customFormat="1" ht="16.5" customHeight="1" x14ac:dyDescent="0.25">
      <c r="B28" s="39" t="s">
        <v>81</v>
      </c>
      <c r="C28" s="39" t="s">
        <v>82</v>
      </c>
      <c r="D28" s="38">
        <v>1035.9190000000001</v>
      </c>
    </row>
    <row r="29" spans="2:5" s="1" customFormat="1" ht="25.5" customHeight="1" x14ac:dyDescent="0.25">
      <c r="B29" s="39" t="s">
        <v>83</v>
      </c>
      <c r="C29" s="39" t="s">
        <v>84</v>
      </c>
      <c r="D29" s="38">
        <v>731.35400000000004</v>
      </c>
    </row>
    <row r="30" spans="2:5" s="1" customFormat="1" ht="26.25" customHeight="1" x14ac:dyDescent="0.25">
      <c r="B30" s="39" t="s">
        <v>85</v>
      </c>
      <c r="C30" s="39" t="s">
        <v>86</v>
      </c>
      <c r="D30" s="38">
        <v>304.565</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9589.7980000000007</v>
      </c>
      <c r="E32" s="43"/>
    </row>
  </sheetData>
  <sheetProtection algorithmName="SHA-512" hashValue="Q/JPWDzYKz3EbSNOXksrX7xfrPwp4PHNTdjcZg/BYkX2Tf1l4Q2rPoU6f2/8Eqzk+VWquu4KvC0R7P9LGa/vyA==" saltValue="ix/d4KZO+udjDJ8Ni2SVi1VQYOUZcTx7pndZTwKDOOxnyAUvnFCO/fHG9Fy8ZCPOmwWlWHG9EZoU4AwR3NYIFQ=="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9"/>
  <sheetViews>
    <sheetView topLeftCell="A70" zoomScale="112" zoomScaleNormal="112" workbookViewId="0">
      <selection activeCell="D86" sqref="D86:D87"/>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414.33955229999998</v>
      </c>
      <c r="E11" s="58"/>
      <c r="I11" s="59"/>
    </row>
    <row r="12" spans="1:12" s="1" customFormat="1" x14ac:dyDescent="0.25">
      <c r="B12" s="60" t="s">
        <v>96</v>
      </c>
      <c r="C12" s="61" t="s">
        <v>97</v>
      </c>
      <c r="D12" s="62">
        <f>SUM(D13:D14)</f>
        <v>170.33164859999999</v>
      </c>
      <c r="E12" s="63"/>
    </row>
    <row r="13" spans="1:12" s="1" customFormat="1" x14ac:dyDescent="0.25">
      <c r="B13" s="64" t="s">
        <v>98</v>
      </c>
      <c r="C13" s="65" t="s">
        <v>99</v>
      </c>
      <c r="D13" s="66">
        <v>170.33164859999999</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190.29300370000001</v>
      </c>
      <c r="E15" s="63"/>
    </row>
    <row r="16" spans="1:12" s="1" customFormat="1" ht="17.25" customHeight="1" x14ac:dyDescent="0.25">
      <c r="B16" s="72" t="s">
        <v>104</v>
      </c>
      <c r="C16" s="73" t="s">
        <v>105</v>
      </c>
      <c r="D16" s="74">
        <f>IFERROR(SUM(D17:D18)+D28*(D45/D44), 0)</f>
        <v>70.390316399999989</v>
      </c>
      <c r="E16" s="67"/>
    </row>
    <row r="17" spans="2:12" s="1" customFormat="1" x14ac:dyDescent="0.25">
      <c r="B17" s="64" t="s">
        <v>106</v>
      </c>
      <c r="C17" s="65" t="s">
        <v>107</v>
      </c>
      <c r="D17" s="66">
        <v>70.390316399999989</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98.616431800000001</v>
      </c>
      <c r="E19" s="67"/>
    </row>
    <row r="20" spans="2:12" s="1" customFormat="1" x14ac:dyDescent="0.25">
      <c r="B20" s="64" t="s">
        <v>112</v>
      </c>
      <c r="C20" s="65" t="s">
        <v>113</v>
      </c>
      <c r="D20" s="66">
        <v>90.968821800000001</v>
      </c>
      <c r="E20" s="67"/>
    </row>
    <row r="21" spans="2:12" s="1" customFormat="1" x14ac:dyDescent="0.25">
      <c r="B21" s="64" t="s">
        <v>114</v>
      </c>
      <c r="C21" s="65" t="s">
        <v>115</v>
      </c>
      <c r="D21" s="66">
        <v>7.6476100000000002</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21.286255499999999</v>
      </c>
      <c r="E23" s="67"/>
    </row>
    <row r="24" spans="2:12" s="1" customFormat="1" x14ac:dyDescent="0.25">
      <c r="B24" s="64" t="s">
        <v>119</v>
      </c>
      <c r="C24" s="65" t="s">
        <v>120</v>
      </c>
      <c r="D24" s="66">
        <v>21.286255499999999</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53.714899999999993</v>
      </c>
      <c r="E31" s="63"/>
    </row>
    <row r="32" spans="2:12" s="1" customFormat="1" ht="24" x14ac:dyDescent="0.25">
      <c r="B32" s="64" t="s">
        <v>133</v>
      </c>
      <c r="C32" s="65" t="s">
        <v>134</v>
      </c>
      <c r="D32" s="66">
        <v>53.714899999999993</v>
      </c>
      <c r="E32" s="67"/>
    </row>
    <row r="33" spans="2:9" s="1" customFormat="1" ht="15.75" thickBot="1" x14ac:dyDescent="0.3">
      <c r="B33" s="68" t="s">
        <v>135</v>
      </c>
      <c r="C33" s="69" t="s">
        <v>101</v>
      </c>
      <c r="D33" s="70">
        <v>0</v>
      </c>
      <c r="E33" s="71"/>
    </row>
    <row r="34" spans="2:9" s="1" customFormat="1" x14ac:dyDescent="0.25">
      <c r="B34" s="60" t="s">
        <v>53</v>
      </c>
      <c r="C34" s="76" t="s">
        <v>136</v>
      </c>
      <c r="D34" s="62">
        <f>D35+D38</f>
        <v>477.04593650000004</v>
      </c>
      <c r="E34" s="63"/>
    </row>
    <row r="35" spans="2:9" s="1" customFormat="1" x14ac:dyDescent="0.25">
      <c r="B35" s="72" t="s">
        <v>55</v>
      </c>
      <c r="C35" s="73" t="s">
        <v>137</v>
      </c>
      <c r="D35" s="74">
        <f>SUM(D36:D37)</f>
        <v>345.44261</v>
      </c>
      <c r="E35" s="67"/>
    </row>
    <row r="36" spans="2:9" s="1" customFormat="1" x14ac:dyDescent="0.25">
      <c r="B36" s="64" t="s">
        <v>138</v>
      </c>
      <c r="C36" s="65" t="s">
        <v>139</v>
      </c>
      <c r="D36" s="66">
        <v>345.44261</v>
      </c>
      <c r="E36" s="67"/>
    </row>
    <row r="37" spans="2:9" s="1" customFormat="1" x14ac:dyDescent="0.25">
      <c r="B37" s="64" t="s">
        <v>140</v>
      </c>
      <c r="C37" s="65" t="s">
        <v>101</v>
      </c>
      <c r="D37" s="66">
        <v>0</v>
      </c>
      <c r="E37" s="67"/>
    </row>
    <row r="38" spans="2:9" s="1" customFormat="1" x14ac:dyDescent="0.25">
      <c r="B38" s="72" t="s">
        <v>141</v>
      </c>
      <c r="C38" s="73" t="s">
        <v>142</v>
      </c>
      <c r="D38" s="74">
        <f>SUM(D39:D40)</f>
        <v>131.60332650000001</v>
      </c>
      <c r="E38" s="67"/>
    </row>
    <row r="39" spans="2:9" s="1" customFormat="1" x14ac:dyDescent="0.25">
      <c r="B39" s="64" t="s">
        <v>143</v>
      </c>
      <c r="C39" s="65" t="s">
        <v>144</v>
      </c>
      <c r="D39" s="77">
        <v>131.60332650000001</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966.63131338571202</v>
      </c>
      <c r="E41" s="81" t="s">
        <v>148</v>
      </c>
      <c r="F41" s="82"/>
      <c r="I41" s="59"/>
    </row>
    <row r="42" spans="2:9" s="1" customFormat="1" ht="24" x14ac:dyDescent="0.25">
      <c r="B42" s="60" t="s">
        <v>59</v>
      </c>
      <c r="C42" s="76" t="s">
        <v>149</v>
      </c>
      <c r="D42" s="83">
        <f>D43+D44+D48+D49</f>
        <v>467.83559437552077</v>
      </c>
      <c r="E42" s="63" t="s">
        <v>148</v>
      </c>
      <c r="F42" s="82"/>
      <c r="I42" s="59"/>
    </row>
    <row r="43" spans="2:9" s="1" customFormat="1" x14ac:dyDescent="0.25">
      <c r="B43" s="64" t="s">
        <v>150</v>
      </c>
      <c r="C43" s="84" t="s">
        <v>151</v>
      </c>
      <c r="D43" s="85">
        <f>VAS073_F_Visospaskirsto13IsViso</f>
        <v>179.78444187055541</v>
      </c>
      <c r="E43" s="67" t="s">
        <v>148</v>
      </c>
    </row>
    <row r="44" spans="2:9" s="1" customFormat="1" x14ac:dyDescent="0.25">
      <c r="B44" s="64" t="s">
        <v>152</v>
      </c>
      <c r="C44" s="84" t="s">
        <v>153</v>
      </c>
      <c r="D44" s="85">
        <f>VAS073_F_Visospaskirsto14IsViso</f>
        <v>263.87394006701675</v>
      </c>
      <c r="E44" s="67" t="s">
        <v>148</v>
      </c>
    </row>
    <row r="45" spans="2:9" s="2" customFormat="1" x14ac:dyDescent="0.25">
      <c r="B45" s="86" t="s">
        <v>154</v>
      </c>
      <c r="C45" s="87" t="s">
        <v>155</v>
      </c>
      <c r="D45" s="88">
        <f>VAS073_F_Visospaskirsto141NuotekuSurinkimas</f>
        <v>93.250769976486765</v>
      </c>
      <c r="E45" s="89" t="s">
        <v>148</v>
      </c>
      <c r="G45" s="90"/>
      <c r="H45" s="90"/>
    </row>
    <row r="46" spans="2:9" s="2" customFormat="1" x14ac:dyDescent="0.25">
      <c r="B46" s="86" t="s">
        <v>156</v>
      </c>
      <c r="C46" s="87" t="s">
        <v>157</v>
      </c>
      <c r="D46" s="88">
        <f>VAS073_F_Visospaskirsto142NuotekuValymas</f>
        <v>146.36674787402825</v>
      </c>
      <c r="E46" s="89" t="s">
        <v>148</v>
      </c>
      <c r="G46" s="90"/>
      <c r="H46" s="90"/>
    </row>
    <row r="47" spans="2:9" s="2" customFormat="1" x14ac:dyDescent="0.25">
      <c r="B47" s="86" t="s">
        <v>158</v>
      </c>
      <c r="C47" s="87" t="s">
        <v>159</v>
      </c>
      <c r="D47" s="88">
        <f>VAS073_F_Visospaskirsto143NuotekuDumblo</f>
        <v>24.256422216501726</v>
      </c>
      <c r="E47" s="89" t="s">
        <v>148</v>
      </c>
      <c r="G47" s="90"/>
      <c r="H47" s="90"/>
    </row>
    <row r="48" spans="2:9" s="1" customFormat="1" x14ac:dyDescent="0.25">
      <c r="B48" s="68" t="s">
        <v>160</v>
      </c>
      <c r="C48" s="84" t="s">
        <v>161</v>
      </c>
      <c r="D48" s="85">
        <f>VAS073_F_Visospaskirsto15PavirsiniuNuoteku</f>
        <v>0</v>
      </c>
      <c r="E48" s="67" t="s">
        <v>148</v>
      </c>
    </row>
    <row r="49" spans="2:9" s="1" customFormat="1" ht="15.75" thickBot="1" x14ac:dyDescent="0.3">
      <c r="B49" s="68" t="s">
        <v>162</v>
      </c>
      <c r="C49" s="91" t="s">
        <v>163</v>
      </c>
      <c r="D49" s="92">
        <f>VAS073_F_Visospaskirsto12ApskaitosVeikla</f>
        <v>24.177212437948651</v>
      </c>
      <c r="E49" s="71" t="s">
        <v>148</v>
      </c>
    </row>
    <row r="50" spans="2:9" s="1" customFormat="1" x14ac:dyDescent="0.25">
      <c r="B50" s="60" t="s">
        <v>63</v>
      </c>
      <c r="C50" s="76" t="s">
        <v>164</v>
      </c>
      <c r="D50" s="83">
        <f>SUM(D51:D52)</f>
        <v>498.79571901019119</v>
      </c>
      <c r="E50" s="63" t="s">
        <v>148</v>
      </c>
      <c r="I50" s="59"/>
    </row>
    <row r="51" spans="2:9" s="1" customFormat="1" x14ac:dyDescent="0.25">
      <c r="B51" s="64" t="s">
        <v>65</v>
      </c>
      <c r="C51" s="84" t="s">
        <v>165</v>
      </c>
      <c r="D51" s="85">
        <f>VAS073_F_Visospaskirsto16KitosReguliuojamosios</f>
        <v>361.24043414583809</v>
      </c>
      <c r="E51" s="67" t="s">
        <v>148</v>
      </c>
      <c r="G51" s="93"/>
      <c r="H51" s="93"/>
    </row>
    <row r="52" spans="2:9" s="1" customFormat="1" ht="15.75" thickBot="1" x14ac:dyDescent="0.3">
      <c r="B52" s="68" t="s">
        <v>69</v>
      </c>
      <c r="C52" s="91" t="s">
        <v>166</v>
      </c>
      <c r="D52" s="92">
        <f>VAS073_F_Visospaskirsto17KitosVeiklos</f>
        <v>137.55528486435307</v>
      </c>
      <c r="E52" s="71" t="s">
        <v>148</v>
      </c>
    </row>
    <row r="53" spans="2:9" s="1" customFormat="1" x14ac:dyDescent="0.25">
      <c r="B53" s="60" t="s">
        <v>167</v>
      </c>
      <c r="C53" s="94" t="s">
        <v>168</v>
      </c>
      <c r="D53" s="83">
        <f>SUM(D54:D73)</f>
        <v>73.566513065728685</v>
      </c>
      <c r="E53" s="63"/>
      <c r="I53" s="59"/>
    </row>
    <row r="54" spans="2:9" s="1" customFormat="1" x14ac:dyDescent="0.25">
      <c r="B54" s="95" t="s">
        <v>169</v>
      </c>
      <c r="C54" s="96" t="s">
        <v>170</v>
      </c>
      <c r="D54" s="97">
        <v>0.66042000000000001</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0</v>
      </c>
      <c r="E57" s="98"/>
    </row>
    <row r="58" spans="2:9" s="1" customFormat="1" x14ac:dyDescent="0.25">
      <c r="B58" s="99" t="s">
        <v>177</v>
      </c>
      <c r="C58" s="96" t="s">
        <v>178</v>
      </c>
      <c r="D58" s="97">
        <v>41.462440000000001</v>
      </c>
      <c r="E58" s="98"/>
    </row>
    <row r="59" spans="2:9" s="1" customFormat="1" ht="26.25" x14ac:dyDescent="0.25">
      <c r="B59" s="99" t="s">
        <v>179</v>
      </c>
      <c r="C59" s="96" t="s">
        <v>180</v>
      </c>
      <c r="D59" s="97">
        <v>0</v>
      </c>
      <c r="E59" s="98"/>
    </row>
    <row r="60" spans="2:9" s="1" customFormat="1" ht="26.25" x14ac:dyDescent="0.25">
      <c r="B60" s="99" t="s">
        <v>181</v>
      </c>
      <c r="C60" s="96" t="s">
        <v>182</v>
      </c>
      <c r="D60" s="97">
        <v>0.34700000000000003</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0</v>
      </c>
      <c r="E68" s="104"/>
    </row>
    <row r="69" spans="2:9" s="1" customFormat="1" ht="39" x14ac:dyDescent="0.25">
      <c r="B69" s="103" t="s">
        <v>199</v>
      </c>
      <c r="C69" s="96" t="s">
        <v>200</v>
      </c>
      <c r="D69" s="97">
        <v>4.8849300000000007</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26.21172306572867</v>
      </c>
      <c r="E73" s="107"/>
    </row>
    <row r="74" spans="2:9" s="1" customFormat="1" ht="15.75" thickBot="1" x14ac:dyDescent="0.3">
      <c r="B74" s="78" t="s">
        <v>209</v>
      </c>
      <c r="C74" s="108" t="s">
        <v>210</v>
      </c>
      <c r="D74" s="109">
        <v>-148.81233765144057</v>
      </c>
      <c r="E74" s="81"/>
      <c r="I74" s="59"/>
    </row>
    <row r="75" spans="2:9" s="1" customFormat="1" ht="24" x14ac:dyDescent="0.25">
      <c r="B75" s="110" t="s">
        <v>79</v>
      </c>
      <c r="C75" s="111" t="s">
        <v>211</v>
      </c>
      <c r="D75" s="112">
        <f>D11-D42</f>
        <v>-53.496042075520791</v>
      </c>
      <c r="E75" s="113"/>
      <c r="I75" s="59"/>
    </row>
    <row r="76" spans="2:9" s="1" customFormat="1" x14ac:dyDescent="0.25">
      <c r="B76" s="64" t="s">
        <v>212</v>
      </c>
      <c r="C76" s="84" t="s">
        <v>213</v>
      </c>
      <c r="D76" s="85">
        <f>D12-D43</f>
        <v>-9.4527932705554178</v>
      </c>
      <c r="E76" s="67"/>
    </row>
    <row r="77" spans="2:9" s="1" customFormat="1" x14ac:dyDescent="0.25">
      <c r="B77" s="64" t="s">
        <v>214</v>
      </c>
      <c r="C77" s="84" t="s">
        <v>215</v>
      </c>
      <c r="D77" s="85">
        <f>D15-D44</f>
        <v>-73.580936367016733</v>
      </c>
      <c r="E77" s="67"/>
    </row>
    <row r="78" spans="2:9" s="1" customFormat="1" x14ac:dyDescent="0.25">
      <c r="B78" s="64" t="s">
        <v>216</v>
      </c>
      <c r="C78" s="84" t="s">
        <v>217</v>
      </c>
      <c r="D78" s="85">
        <f>D16-D45</f>
        <v>-22.860453576486776</v>
      </c>
      <c r="E78" s="67"/>
    </row>
    <row r="79" spans="2:9" s="1" customFormat="1" x14ac:dyDescent="0.25">
      <c r="B79" s="64" t="s">
        <v>218</v>
      </c>
      <c r="C79" s="84" t="s">
        <v>219</v>
      </c>
      <c r="D79" s="85">
        <f>D19-D46</f>
        <v>-47.750316074028248</v>
      </c>
      <c r="E79" s="67"/>
    </row>
    <row r="80" spans="2:9" s="1" customFormat="1" x14ac:dyDescent="0.25">
      <c r="B80" s="64" t="s">
        <v>220</v>
      </c>
      <c r="C80" s="84" t="s">
        <v>221</v>
      </c>
      <c r="D80" s="85">
        <f>D23-D47</f>
        <v>-2.9701667165017263</v>
      </c>
      <c r="E80" s="67"/>
    </row>
    <row r="81" spans="2:9" s="1" customFormat="1" ht="24" x14ac:dyDescent="0.25">
      <c r="B81" s="68" t="s">
        <v>222</v>
      </c>
      <c r="C81" s="84" t="s">
        <v>223</v>
      </c>
      <c r="D81" s="85">
        <f>D27-D48</f>
        <v>0</v>
      </c>
      <c r="E81" s="67"/>
    </row>
    <row r="82" spans="2:9" s="1" customFormat="1" ht="15.75" thickBot="1" x14ac:dyDescent="0.3">
      <c r="B82" s="68" t="s">
        <v>224</v>
      </c>
      <c r="C82" s="91" t="s">
        <v>225</v>
      </c>
      <c r="D82" s="85">
        <f>D31-D49</f>
        <v>29.537687562051342</v>
      </c>
      <c r="E82" s="71"/>
    </row>
    <row r="83" spans="2:9" s="1" customFormat="1" x14ac:dyDescent="0.25">
      <c r="B83" s="60" t="s">
        <v>81</v>
      </c>
      <c r="C83" s="76" t="s">
        <v>226</v>
      </c>
      <c r="D83" s="83">
        <f>D34-D50</f>
        <v>-21.749782510191153</v>
      </c>
      <c r="E83" s="63"/>
      <c r="I83" s="59"/>
    </row>
    <row r="84" spans="2:9" s="1" customFormat="1" x14ac:dyDescent="0.25">
      <c r="B84" s="64" t="s">
        <v>83</v>
      </c>
      <c r="C84" s="84" t="s">
        <v>227</v>
      </c>
      <c r="D84" s="85">
        <f>D35-D51</f>
        <v>-15.797824145838092</v>
      </c>
      <c r="E84" s="67"/>
    </row>
    <row r="85" spans="2:9" s="1" customFormat="1" x14ac:dyDescent="0.25">
      <c r="B85" s="68" t="s">
        <v>85</v>
      </c>
      <c r="C85" s="91" t="s">
        <v>228</v>
      </c>
      <c r="D85" s="92">
        <f>IFERROR(D38-D52,"-")</f>
        <v>-5.9519583643530609</v>
      </c>
      <c r="E85" s="71"/>
    </row>
    <row r="86" spans="2:9" s="1" customFormat="1" ht="15.75" thickBot="1" x14ac:dyDescent="0.3">
      <c r="B86" s="114" t="s">
        <v>87</v>
      </c>
      <c r="C86" s="115" t="s">
        <v>229</v>
      </c>
      <c r="D86" s="116">
        <v>0</v>
      </c>
      <c r="E86" s="71"/>
    </row>
    <row r="87" spans="2:9" s="1" customFormat="1" ht="15.75" thickBot="1" x14ac:dyDescent="0.3">
      <c r="B87" s="78" t="s">
        <v>230</v>
      </c>
      <c r="C87" s="79" t="s">
        <v>231</v>
      </c>
      <c r="D87" s="117">
        <v>0</v>
      </c>
      <c r="E87" s="81"/>
      <c r="I87" s="59"/>
    </row>
    <row r="88" spans="2:9" s="1" customFormat="1" ht="15.75" thickBot="1" x14ac:dyDescent="0.3">
      <c r="B88" s="78" t="s">
        <v>232</v>
      </c>
      <c r="C88" s="79" t="s">
        <v>233</v>
      </c>
      <c r="D88" s="80">
        <f>IFERROR(D74+D86-D87,"0")</f>
        <v>-148.81233765144057</v>
      </c>
      <c r="E88" s="81"/>
      <c r="I88" s="59"/>
    </row>
    <row r="89" spans="2:9" s="1" customFormat="1" ht="24" x14ac:dyDescent="0.25">
      <c r="B89" s="110" t="s">
        <v>234</v>
      </c>
      <c r="C89" s="111" t="s">
        <v>235</v>
      </c>
      <c r="D89" s="112">
        <f>IFERROR((D75/D11)*100,"0")</f>
        <v>-12.911159887721102</v>
      </c>
      <c r="E89" s="113"/>
    </row>
    <row r="90" spans="2:9" s="1" customFormat="1" x14ac:dyDescent="0.25">
      <c r="B90" s="64" t="s">
        <v>236</v>
      </c>
      <c r="C90" s="84" t="s">
        <v>237</v>
      </c>
      <c r="D90" s="85">
        <f>IFERROR((D76/D12)*100,"0")</f>
        <v>-5.5496399807378003</v>
      </c>
      <c r="E90" s="67"/>
    </row>
    <row r="91" spans="2:9" s="1" customFormat="1" x14ac:dyDescent="0.25">
      <c r="B91" s="64" t="s">
        <v>238</v>
      </c>
      <c r="C91" s="84" t="s">
        <v>239</v>
      </c>
      <c r="D91" s="85">
        <f>IFERROR((D77/D15)*100,"0")</f>
        <v>-38.667179000978017</v>
      </c>
      <c r="E91" s="67"/>
    </row>
    <row r="92" spans="2:9" s="1" customFormat="1" ht="24" x14ac:dyDescent="0.25">
      <c r="B92" s="64" t="s">
        <v>240</v>
      </c>
      <c r="C92" s="84" t="s">
        <v>241</v>
      </c>
      <c r="D92" s="85">
        <f>IFERROR((D78/D16)*100,"0")</f>
        <v>-32.476702401193897</v>
      </c>
      <c r="E92" s="67"/>
    </row>
    <row r="93" spans="2:9" s="1" customFormat="1" x14ac:dyDescent="0.25">
      <c r="B93" s="64" t="s">
        <v>242</v>
      </c>
      <c r="C93" s="84" t="s">
        <v>243</v>
      </c>
      <c r="D93" s="85">
        <f>IFERROR((D79/D19)*100,"0")</f>
        <v>-48.420243160763242</v>
      </c>
      <c r="E93" s="67"/>
    </row>
    <row r="94" spans="2:9" s="1" customFormat="1" x14ac:dyDescent="0.25">
      <c r="B94" s="64" t="s">
        <v>244</v>
      </c>
      <c r="C94" s="84" t="s">
        <v>245</v>
      </c>
      <c r="D94" s="85">
        <f>IFERROR((D80/D23)*100,"0")</f>
        <v>-13.953448583296984</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54.989746908309144</v>
      </c>
      <c r="E96" s="121"/>
    </row>
    <row r="98" spans="3:3" s="1" customFormat="1" x14ac:dyDescent="0.25">
      <c r="C98" s="90" t="s">
        <v>250</v>
      </c>
    </row>
    <row r="99" spans="3:3" s="1" customFormat="1" x14ac:dyDescent="0.25">
      <c r="C99" s="90" t="s">
        <v>251</v>
      </c>
    </row>
  </sheetData>
  <sheetProtection algorithmName="SHA-512" hashValue="sKwz4A+6+cvadul4m6d87cBgV1YqrI0r73xqbScUkeLyRiy7xXW7FmtdfM4/f/vXADiU1IgDIWDIeToCBFJfOQ==" saltValue="sNlG2rWJiY4bbOtKmvgrGTdGOIh0/sNZtHmwFkaMtGgfG7OyUIygkQgMrr4gjOEbbp16rDXbKgpiigbbnl6OFA=="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241"/>
  <sheetViews>
    <sheetView topLeftCell="I1" zoomScale="80" zoomScaleNormal="80" workbookViewId="0">
      <selection activeCell="D13" sqref="D13:P13"/>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0</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x14ac:dyDescent="0.3">
      <c r="B12" s="150" t="s">
        <v>102</v>
      </c>
      <c r="C12" s="151" t="s">
        <v>270</v>
      </c>
      <c r="D12" s="152">
        <f t="shared" ref="D12:P12" si="1">D31</f>
        <v>0</v>
      </c>
      <c r="E12" s="153">
        <f t="shared" si="1"/>
        <v>0</v>
      </c>
      <c r="F12" s="154">
        <f t="shared" si="1"/>
        <v>0</v>
      </c>
      <c r="G12" s="155">
        <f t="shared" si="1"/>
        <v>0</v>
      </c>
      <c r="H12" s="156">
        <f t="shared" si="1"/>
        <v>0</v>
      </c>
      <c r="I12" s="157">
        <f t="shared" si="1"/>
        <v>0</v>
      </c>
      <c r="J12" s="154">
        <f t="shared" si="1"/>
        <v>0</v>
      </c>
      <c r="K12" s="155">
        <f t="shared" si="1"/>
        <v>0</v>
      </c>
      <c r="L12" s="156">
        <f t="shared" si="1"/>
        <v>0</v>
      </c>
      <c r="M12" s="156">
        <f t="shared" si="1"/>
        <v>0</v>
      </c>
      <c r="N12" s="152">
        <f t="shared" si="1"/>
        <v>0</v>
      </c>
      <c r="O12" s="153">
        <f t="shared" si="1"/>
        <v>0</v>
      </c>
      <c r="P12" s="154">
        <f t="shared" si="1"/>
        <v>0</v>
      </c>
    </row>
    <row r="13" spans="1:18" s="1" customFormat="1" x14ac:dyDescent="0.25">
      <c r="B13" s="150" t="s">
        <v>124</v>
      </c>
      <c r="C13" s="151" t="s">
        <v>271</v>
      </c>
      <c r="D13" s="152">
        <f t="shared" ref="D13:P13" si="2">D34+D91</f>
        <v>59.881790000000002</v>
      </c>
      <c r="E13" s="153">
        <f t="shared" si="2"/>
        <v>0</v>
      </c>
      <c r="F13" s="154">
        <f t="shared" si="2"/>
        <v>18.355540000000001</v>
      </c>
      <c r="G13" s="155">
        <f t="shared" si="2"/>
        <v>16.110870000000002</v>
      </c>
      <c r="H13" s="156">
        <f t="shared" si="2"/>
        <v>2.0950100000000003</v>
      </c>
      <c r="I13" s="157">
        <f t="shared" si="2"/>
        <v>0.14965999999999985</v>
      </c>
      <c r="J13" s="154">
        <f t="shared" si="2"/>
        <v>25.995370000000005</v>
      </c>
      <c r="K13" s="155">
        <f t="shared" si="2"/>
        <v>7.2916200000000009</v>
      </c>
      <c r="L13" s="156">
        <f t="shared" si="2"/>
        <v>18.324760000000001</v>
      </c>
      <c r="M13" s="156">
        <f t="shared" si="2"/>
        <v>0.37898999999999999</v>
      </c>
      <c r="N13" s="152">
        <f t="shared" si="2"/>
        <v>0</v>
      </c>
      <c r="O13" s="153">
        <f t="shared" si="2"/>
        <v>15.260430000000001</v>
      </c>
      <c r="P13" s="154">
        <f t="shared" si="2"/>
        <v>0.27044999999999997</v>
      </c>
    </row>
    <row r="14" spans="1:18" s="3" customFormat="1" ht="35.25" customHeight="1" thickBot="1" x14ac:dyDescent="0.3">
      <c r="B14" s="158" t="s">
        <v>126</v>
      </c>
      <c r="C14" s="159" t="s">
        <v>272</v>
      </c>
      <c r="D14" s="160">
        <f t="shared" ref="D14:P14" si="3">D35+D92</f>
        <v>58.2742</v>
      </c>
      <c r="E14" s="161">
        <f t="shared" si="3"/>
        <v>0</v>
      </c>
      <c r="F14" s="162">
        <f t="shared" si="3"/>
        <v>18.355540000000001</v>
      </c>
      <c r="G14" s="163">
        <f t="shared" si="3"/>
        <v>16.110870000000002</v>
      </c>
      <c r="H14" s="164">
        <f t="shared" si="3"/>
        <v>2.0950100000000003</v>
      </c>
      <c r="I14" s="165">
        <f t="shared" si="3"/>
        <v>0.14965999999999985</v>
      </c>
      <c r="J14" s="162">
        <f t="shared" si="3"/>
        <v>24.387780000000003</v>
      </c>
      <c r="K14" s="163">
        <f t="shared" si="3"/>
        <v>7.2916200000000009</v>
      </c>
      <c r="L14" s="164">
        <f t="shared" si="3"/>
        <v>16.905810000000002</v>
      </c>
      <c r="M14" s="164">
        <f t="shared" si="3"/>
        <v>0.19035000000000002</v>
      </c>
      <c r="N14" s="160">
        <f t="shared" si="3"/>
        <v>0</v>
      </c>
      <c r="O14" s="161">
        <f t="shared" si="3"/>
        <v>15.260430000000001</v>
      </c>
      <c r="P14" s="162">
        <f t="shared" si="3"/>
        <v>0.27044999999999997</v>
      </c>
      <c r="Q14" s="166"/>
      <c r="R14" s="166"/>
    </row>
    <row r="15" spans="1:18" s="1" customFormat="1" ht="15.75" thickBot="1" x14ac:dyDescent="0.3">
      <c r="B15" s="150" t="s">
        <v>131</v>
      </c>
      <c r="C15" s="151" t="s">
        <v>273</v>
      </c>
      <c r="D15" s="152">
        <f t="shared" ref="D15:P15" si="4">D37</f>
        <v>96.602189999999993</v>
      </c>
      <c r="E15" s="153">
        <f t="shared" si="4"/>
        <v>0</v>
      </c>
      <c r="F15" s="154">
        <f t="shared" si="4"/>
        <v>0.745</v>
      </c>
      <c r="G15" s="155">
        <f t="shared" si="4"/>
        <v>0</v>
      </c>
      <c r="H15" s="156">
        <f t="shared" si="4"/>
        <v>0.745</v>
      </c>
      <c r="I15" s="157">
        <f t="shared" si="4"/>
        <v>0</v>
      </c>
      <c r="J15" s="154">
        <f t="shared" si="4"/>
        <v>8.4724000000000004</v>
      </c>
      <c r="K15" s="155">
        <f t="shared" si="4"/>
        <v>0</v>
      </c>
      <c r="L15" s="156">
        <f t="shared" si="4"/>
        <v>7.3514499999999998</v>
      </c>
      <c r="M15" s="156">
        <f t="shared" si="4"/>
        <v>1.1209500000000001</v>
      </c>
      <c r="N15" s="152">
        <f t="shared" si="4"/>
        <v>0</v>
      </c>
      <c r="O15" s="153">
        <f t="shared" si="4"/>
        <v>87.384789999999995</v>
      </c>
      <c r="P15" s="154">
        <f t="shared" si="4"/>
        <v>0</v>
      </c>
    </row>
    <row r="16" spans="1:18" s="1" customFormat="1" x14ac:dyDescent="0.25">
      <c r="B16" s="150" t="s">
        <v>274</v>
      </c>
      <c r="C16" s="151" t="s">
        <v>275</v>
      </c>
      <c r="D16" s="152">
        <f t="shared" ref="D16:P16" si="5">D45+D99+D194</f>
        <v>66.778159999999971</v>
      </c>
      <c r="E16" s="153">
        <f t="shared" si="5"/>
        <v>3.4983107167848915</v>
      </c>
      <c r="F16" s="154">
        <f t="shared" si="5"/>
        <v>12.546218391874538</v>
      </c>
      <c r="G16" s="155">
        <f t="shared" si="5"/>
        <v>5.0268636627269752</v>
      </c>
      <c r="H16" s="156">
        <f t="shared" si="5"/>
        <v>8.9760757650248185E-2</v>
      </c>
      <c r="I16" s="157">
        <f t="shared" si="5"/>
        <v>7.4295939714973152</v>
      </c>
      <c r="J16" s="154">
        <f t="shared" si="5"/>
        <v>15.717670759256418</v>
      </c>
      <c r="K16" s="155">
        <f t="shared" si="5"/>
        <v>5.7270819413601535</v>
      </c>
      <c r="L16" s="156">
        <f t="shared" si="5"/>
        <v>7.7396322124725847</v>
      </c>
      <c r="M16" s="156">
        <f t="shared" si="5"/>
        <v>2.2509566054236814</v>
      </c>
      <c r="N16" s="152">
        <f t="shared" si="5"/>
        <v>0</v>
      </c>
      <c r="O16" s="153">
        <f t="shared" si="5"/>
        <v>17.22128965785711</v>
      </c>
      <c r="P16" s="154">
        <f t="shared" si="5"/>
        <v>17.794670474227011</v>
      </c>
    </row>
    <row r="17" spans="1:21" s="3" customFormat="1" x14ac:dyDescent="0.25">
      <c r="B17" s="167" t="s">
        <v>276</v>
      </c>
      <c r="C17" s="168" t="s">
        <v>277</v>
      </c>
      <c r="D17" s="169">
        <f t="shared" ref="D17:P17" si="6">D46+D100+D195</f>
        <v>58.373319999999964</v>
      </c>
      <c r="E17" s="170">
        <f t="shared" si="6"/>
        <v>2.5119579446707272</v>
      </c>
      <c r="F17" s="171">
        <f t="shared" si="6"/>
        <v>10.745934981859675</v>
      </c>
      <c r="G17" s="172">
        <f t="shared" si="6"/>
        <v>4.9510982672650741</v>
      </c>
      <c r="H17" s="173">
        <f t="shared" si="6"/>
        <v>5.8402170799759824E-2</v>
      </c>
      <c r="I17" s="174">
        <f t="shared" si="6"/>
        <v>5.7364345437948403</v>
      </c>
      <c r="J17" s="171">
        <f t="shared" si="6"/>
        <v>14.970690200580222</v>
      </c>
      <c r="K17" s="172">
        <f t="shared" si="6"/>
        <v>5.5498364493124921</v>
      </c>
      <c r="L17" s="173">
        <f t="shared" si="6"/>
        <v>7.2171970086918966</v>
      </c>
      <c r="M17" s="173">
        <f t="shared" si="6"/>
        <v>2.2036567425758347</v>
      </c>
      <c r="N17" s="169">
        <f t="shared" si="6"/>
        <v>0</v>
      </c>
      <c r="O17" s="170">
        <f t="shared" si="6"/>
        <v>13.447742070778782</v>
      </c>
      <c r="P17" s="171">
        <f t="shared" si="6"/>
        <v>16.696994802110559</v>
      </c>
      <c r="Q17" s="166"/>
      <c r="R17" s="166"/>
    </row>
    <row r="18" spans="1:21" s="3" customFormat="1" x14ac:dyDescent="0.25">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3.7479399999999998</v>
      </c>
      <c r="E19" s="178">
        <f t="shared" si="8"/>
        <v>4.5515521226874835E-2</v>
      </c>
      <c r="F19" s="179">
        <f t="shared" si="8"/>
        <v>1.2673405824066046</v>
      </c>
      <c r="G19" s="180">
        <f t="shared" si="8"/>
        <v>6.9173715305370601E-2</v>
      </c>
      <c r="H19" s="181">
        <f t="shared" si="8"/>
        <v>2.8630352233365155E-2</v>
      </c>
      <c r="I19" s="182">
        <f t="shared" si="8"/>
        <v>1.1695365148678687</v>
      </c>
      <c r="J19" s="179">
        <f t="shared" si="8"/>
        <v>0.7059046345561637</v>
      </c>
      <c r="K19" s="180">
        <f t="shared" si="8"/>
        <v>0.16182492193590786</v>
      </c>
      <c r="L19" s="181">
        <f t="shared" si="8"/>
        <v>0.50089499449566921</v>
      </c>
      <c r="M19" s="181">
        <f t="shared" si="8"/>
        <v>4.3184718124586546E-2</v>
      </c>
      <c r="N19" s="177">
        <f t="shared" si="8"/>
        <v>0</v>
      </c>
      <c r="O19" s="178">
        <f t="shared" si="8"/>
        <v>0.89802357937168353</v>
      </c>
      <c r="P19" s="179">
        <f t="shared" si="8"/>
        <v>0.83115568243867344</v>
      </c>
      <c r="Q19" s="166"/>
      <c r="R19" s="166"/>
    </row>
    <row r="20" spans="1:21" s="1" customFormat="1" x14ac:dyDescent="0.25">
      <c r="B20" s="150" t="s">
        <v>282</v>
      </c>
      <c r="C20" s="183" t="s">
        <v>283</v>
      </c>
      <c r="D20" s="152">
        <f t="shared" ref="D20:P20" si="9">D52+D106+D201</f>
        <v>518.85418645144057</v>
      </c>
      <c r="E20" s="153">
        <f t="shared" si="9"/>
        <v>18.009564611366297</v>
      </c>
      <c r="F20" s="154">
        <f t="shared" si="9"/>
        <v>86.515072786209231</v>
      </c>
      <c r="G20" s="155">
        <f t="shared" si="9"/>
        <v>15.136668834449075</v>
      </c>
      <c r="H20" s="156">
        <f t="shared" si="9"/>
        <v>11.883776895530163</v>
      </c>
      <c r="I20" s="157">
        <f t="shared" si="9"/>
        <v>59.494627056229994</v>
      </c>
      <c r="J20" s="154">
        <f t="shared" si="9"/>
        <v>153.70421647817182</v>
      </c>
      <c r="K20" s="155">
        <f t="shared" si="9"/>
        <v>49.477499484804</v>
      </c>
      <c r="L20" s="156">
        <f t="shared" si="9"/>
        <v>89.396754241821327</v>
      </c>
      <c r="M20" s="156">
        <f t="shared" si="9"/>
        <v>14.82996275154648</v>
      </c>
      <c r="N20" s="152">
        <f t="shared" si="9"/>
        <v>0</v>
      </c>
      <c r="O20" s="153">
        <f t="shared" si="9"/>
        <v>162.7562001963428</v>
      </c>
      <c r="P20" s="154">
        <f t="shared" si="9"/>
        <v>97.869132379350418</v>
      </c>
    </row>
    <row r="21" spans="1:21" s="1" customFormat="1" ht="15.75" thickBot="1" x14ac:dyDescent="0.3">
      <c r="B21" s="167" t="s">
        <v>284</v>
      </c>
      <c r="C21" s="184" t="s">
        <v>285</v>
      </c>
      <c r="D21" s="169">
        <f t="shared" ref="D21:P21" si="10">D53+D107+D202</f>
        <v>506.45790999999997</v>
      </c>
      <c r="E21" s="170">
        <f t="shared" si="10"/>
        <v>17.661496275357162</v>
      </c>
      <c r="F21" s="171">
        <f t="shared" si="10"/>
        <v>84.62427788496683</v>
      </c>
      <c r="G21" s="172">
        <f t="shared" si="10"/>
        <v>14.774423018559879</v>
      </c>
      <c r="H21" s="173">
        <f t="shared" si="10"/>
        <v>11.655062413944581</v>
      </c>
      <c r="I21" s="174">
        <f t="shared" si="10"/>
        <v>58.194792452462366</v>
      </c>
      <c r="J21" s="171">
        <f t="shared" si="10"/>
        <v>150.70369707645114</v>
      </c>
      <c r="K21" s="172">
        <f t="shared" si="10"/>
        <v>48.495512931798224</v>
      </c>
      <c r="L21" s="173">
        <f t="shared" si="10"/>
        <v>87.668857599688181</v>
      </c>
      <c r="M21" s="173">
        <f t="shared" si="10"/>
        <v>14.539326544964709</v>
      </c>
      <c r="N21" s="169">
        <f t="shared" si="10"/>
        <v>0</v>
      </c>
      <c r="O21" s="170">
        <f t="shared" si="10"/>
        <v>158.38569631457165</v>
      </c>
      <c r="P21" s="171">
        <f t="shared" si="10"/>
        <v>95.082742448653249</v>
      </c>
    </row>
    <row r="22" spans="1:21" s="1" customFormat="1" ht="15.75" thickBot="1" x14ac:dyDescent="0.3">
      <c r="A22" s="185"/>
      <c r="B22" s="186" t="s">
        <v>286</v>
      </c>
      <c r="C22" s="187" t="s">
        <v>287</v>
      </c>
      <c r="D22" s="188">
        <f>D32+D33+D47+D67+D69+D73+D75+D76+D77+D79+D85+D86+D101+D119+D121+D125+D128+D129+D131+D137+D138+D196+D214+D216+D220+D222+D223+D224+D226+D233+D234+D127</f>
        <v>27.119940000000007</v>
      </c>
      <c r="E22" s="189">
        <f>E32+E33+E47+E67+E69+E73+E75+E76+E77+E79+E85+E86+E101+E119+E121+E125+E127+E128+E129+E131+E137+E138+E196+E214+E216+E220+E222+E223+E224+E226+E233+E234+E127</f>
        <v>0.32428869222338241</v>
      </c>
      <c r="F22" s="190">
        <f t="shared" ref="F22:P22" si="11">F32+F33+F47+F67+F69+F73+F75+F76+F77+F79+F85+F86+F101+F119+F121+F125+F128+F129+F131+F137+F138+F196+F214+F216+F220+F222+F223+F224+F226+F233+F234+F127</f>
        <v>8.6706182788555388</v>
      </c>
      <c r="G22" s="191">
        <f t="shared" si="11"/>
        <v>6.1643984408823167</v>
      </c>
      <c r="H22" s="192">
        <f t="shared" si="11"/>
        <v>0.20398534902794235</v>
      </c>
      <c r="I22" s="193">
        <f t="shared" si="11"/>
        <v>2.3022344889452802</v>
      </c>
      <c r="J22" s="190">
        <f t="shared" si="11"/>
        <v>10.43157528151054</v>
      </c>
      <c r="K22" s="191">
        <f t="shared" si="11"/>
        <v>1.4669591606115375</v>
      </c>
      <c r="L22" s="192">
        <f t="shared" si="11"/>
        <v>6.4825139195933819</v>
      </c>
      <c r="M22" s="192">
        <f t="shared" si="11"/>
        <v>2.4821022013056209</v>
      </c>
      <c r="N22" s="188">
        <f t="shared" si="11"/>
        <v>0</v>
      </c>
      <c r="O22" s="189">
        <f t="shared" si="11"/>
        <v>5.2586576651772114</v>
      </c>
      <c r="P22" s="194">
        <f t="shared" si="11"/>
        <v>2.43480008223333</v>
      </c>
    </row>
    <row r="23" spans="1:21" s="1" customFormat="1" ht="16.5" thickTop="1" thickBot="1" x14ac:dyDescent="0.3">
      <c r="A23" s="185"/>
      <c r="B23" s="195" t="s">
        <v>288</v>
      </c>
      <c r="C23" s="135" t="s">
        <v>289</v>
      </c>
      <c r="D23" s="196">
        <f t="shared" ref="D23:P23" si="12">D29+D90+D186</f>
        <v>966.63131338571179</v>
      </c>
      <c r="E23" s="197">
        <f t="shared" si="12"/>
        <v>24.177212437948651</v>
      </c>
      <c r="F23" s="195">
        <f t="shared" si="12"/>
        <v>179.78444187055541</v>
      </c>
      <c r="G23" s="198">
        <f t="shared" si="12"/>
        <v>63.200401301425238</v>
      </c>
      <c r="H23" s="199">
        <f t="shared" si="12"/>
        <v>18.048055287871016</v>
      </c>
      <c r="I23" s="200">
        <f t="shared" si="12"/>
        <v>98.535985281259158</v>
      </c>
      <c r="J23" s="195">
        <f t="shared" si="12"/>
        <v>263.87394006701675</v>
      </c>
      <c r="K23" s="198">
        <f t="shared" si="12"/>
        <v>93.250769976486765</v>
      </c>
      <c r="L23" s="199">
        <f t="shared" si="12"/>
        <v>146.36674787402825</v>
      </c>
      <c r="M23" s="199">
        <f t="shared" si="12"/>
        <v>24.256422216501726</v>
      </c>
      <c r="N23" s="196">
        <f t="shared" si="12"/>
        <v>0</v>
      </c>
      <c r="O23" s="197">
        <f t="shared" si="12"/>
        <v>361.24043414583809</v>
      </c>
      <c r="P23" s="201">
        <f t="shared" si="12"/>
        <v>137.55528486435307</v>
      </c>
      <c r="S23" s="122"/>
      <c r="T23" s="202"/>
      <c r="U23" s="4"/>
    </row>
    <row r="24" spans="1:21" s="1" customFormat="1" ht="15.75" thickTop="1" x14ac:dyDescent="0.25">
      <c r="B24" s="203" t="s">
        <v>290</v>
      </c>
      <c r="C24" s="204" t="s">
        <v>291</v>
      </c>
      <c r="D24" s="152">
        <f t="shared" ref="D24:D31" si="13">E24+F24+J24+N24+O24+P24</f>
        <v>800.51192338571195</v>
      </c>
      <c r="E24" s="153">
        <f t="shared" ref="E24:P24" si="14">SUM(E25:E27)</f>
        <v>24.177212437948651</v>
      </c>
      <c r="F24" s="154">
        <f t="shared" si="14"/>
        <v>150.80690187055541</v>
      </c>
      <c r="G24" s="155">
        <f t="shared" si="14"/>
        <v>37.22953130142524</v>
      </c>
      <c r="H24" s="156">
        <f t="shared" si="14"/>
        <v>15.208045287871014</v>
      </c>
      <c r="I24" s="157">
        <f t="shared" si="14"/>
        <v>98.369325281259165</v>
      </c>
      <c r="J24" s="154">
        <f t="shared" si="14"/>
        <v>229.77076006701674</v>
      </c>
      <c r="K24" s="155">
        <f t="shared" si="14"/>
        <v>85.959149976486756</v>
      </c>
      <c r="L24" s="156">
        <f t="shared" si="14"/>
        <v>120.87248787402825</v>
      </c>
      <c r="M24" s="156">
        <f t="shared" si="14"/>
        <v>22.939122216501726</v>
      </c>
      <c r="N24" s="152">
        <f t="shared" si="14"/>
        <v>0</v>
      </c>
      <c r="O24" s="153">
        <f t="shared" si="14"/>
        <v>258.56721414583814</v>
      </c>
      <c r="P24" s="203">
        <f t="shared" si="14"/>
        <v>137.18983486435309</v>
      </c>
      <c r="S24" s="122"/>
      <c r="T24" s="122"/>
      <c r="U24" s="205"/>
    </row>
    <row r="25" spans="1:21" s="1" customFormat="1" x14ac:dyDescent="0.25">
      <c r="B25" s="206" t="s">
        <v>292</v>
      </c>
      <c r="C25" s="207" t="s">
        <v>293</v>
      </c>
      <c r="D25" s="208">
        <f t="shared" si="13"/>
        <v>589.12239343675094</v>
      </c>
      <c r="E25" s="209">
        <f>E29-E30-E31-E35-E38-E39-E58-E59-E89</f>
        <v>17.857094301876497</v>
      </c>
      <c r="F25" s="206">
        <f t="shared" ref="F25:F30" si="15">SUM(G25:I25)</f>
        <v>110.92754969970683</v>
      </c>
      <c r="G25" s="210">
        <f>G29-G30-G31-G35-G38-G39-G58-G59-G89</f>
        <v>27.138908313540451</v>
      </c>
      <c r="H25" s="211">
        <f>H29-H30-H31-H35-H38-H39-H58-H59-H89</f>
        <v>11.232539712744613</v>
      </c>
      <c r="I25" s="212">
        <f>I29-I30-I31-I35-I38-I39-I58-I59-I89</f>
        <v>72.556101673421765</v>
      </c>
      <c r="J25" s="206">
        <f t="shared" ref="J25:J56" si="16">SUM(K25:M25)</f>
        <v>169.11556873450397</v>
      </c>
      <c r="K25" s="210">
        <f t="shared" ref="K25:P25" si="17">K29-K30-K31-K35-K38-K39-K58-K59-K89</f>
        <v>63.488735567792638</v>
      </c>
      <c r="L25" s="211">
        <f t="shared" si="17"/>
        <v>88.684182326642144</v>
      </c>
      <c r="M25" s="211">
        <f t="shared" si="17"/>
        <v>16.94265084006917</v>
      </c>
      <c r="N25" s="208">
        <f t="shared" si="17"/>
        <v>0</v>
      </c>
      <c r="O25" s="209">
        <f t="shared" si="17"/>
        <v>190.6815226066482</v>
      </c>
      <c r="P25" s="206">
        <f t="shared" si="17"/>
        <v>100.54065809401551</v>
      </c>
      <c r="S25" s="122"/>
      <c r="T25" s="122"/>
      <c r="U25" s="205"/>
    </row>
    <row r="26" spans="1:21" s="1" customFormat="1" x14ac:dyDescent="0.25">
      <c r="B26" s="206" t="s">
        <v>294</v>
      </c>
      <c r="C26" s="213" t="s">
        <v>295</v>
      </c>
      <c r="D26" s="214">
        <f t="shared" si="13"/>
        <v>0</v>
      </c>
      <c r="E26" s="215">
        <f>E90-E92-E140</f>
        <v>0</v>
      </c>
      <c r="F26" s="216">
        <f t="shared" si="15"/>
        <v>0</v>
      </c>
      <c r="G26" s="217">
        <f>G90-G92-G140</f>
        <v>0</v>
      </c>
      <c r="H26" s="218">
        <f>H90-H92-H140</f>
        <v>0</v>
      </c>
      <c r="I26" s="219">
        <f>I90-I92-I140</f>
        <v>0</v>
      </c>
      <c r="J26" s="216">
        <f t="shared" si="16"/>
        <v>0</v>
      </c>
      <c r="K26" s="217">
        <f t="shared" ref="K26:P26" si="18">K90-K92-K140</f>
        <v>0</v>
      </c>
      <c r="L26" s="218">
        <f t="shared" si="18"/>
        <v>0</v>
      </c>
      <c r="M26" s="218">
        <f t="shared" si="18"/>
        <v>0</v>
      </c>
      <c r="N26" s="214">
        <f t="shared" si="18"/>
        <v>0</v>
      </c>
      <c r="O26" s="215">
        <f t="shared" si="18"/>
        <v>0</v>
      </c>
      <c r="P26" s="216">
        <f t="shared" si="18"/>
        <v>0</v>
      </c>
    </row>
    <row r="27" spans="1:21" s="1" customFormat="1" ht="15.75" thickBot="1" x14ac:dyDescent="0.3">
      <c r="B27" s="206" t="s">
        <v>296</v>
      </c>
      <c r="C27" s="220" t="s">
        <v>297</v>
      </c>
      <c r="D27" s="221">
        <f t="shared" si="13"/>
        <v>211.38952994896098</v>
      </c>
      <c r="E27" s="222">
        <f>E186</f>
        <v>6.3201181360721534</v>
      </c>
      <c r="F27" s="223">
        <f t="shared" si="15"/>
        <v>39.879352170848591</v>
      </c>
      <c r="G27" s="224">
        <f>G186</f>
        <v>10.090622987884785</v>
      </c>
      <c r="H27" s="225">
        <f>H186</f>
        <v>3.9755055751264017</v>
      </c>
      <c r="I27" s="226">
        <f>I186</f>
        <v>25.813223607837401</v>
      </c>
      <c r="J27" s="223">
        <f t="shared" si="16"/>
        <v>60.655191332512771</v>
      </c>
      <c r="K27" s="224">
        <f t="shared" ref="K27:P27" si="19">K186</f>
        <v>22.470414408694122</v>
      </c>
      <c r="L27" s="225">
        <f t="shared" si="19"/>
        <v>32.188305547386101</v>
      </c>
      <c r="M27" s="225">
        <f t="shared" si="19"/>
        <v>5.996471376432555</v>
      </c>
      <c r="N27" s="221">
        <f t="shared" si="19"/>
        <v>0</v>
      </c>
      <c r="O27" s="222">
        <f t="shared" si="19"/>
        <v>67.885691539189921</v>
      </c>
      <c r="P27" s="223">
        <f t="shared" si="19"/>
        <v>36.649176770337569</v>
      </c>
    </row>
    <row r="28" spans="1:21" s="1" customFormat="1" ht="16.5" thickTop="1" thickBot="1" x14ac:dyDescent="0.3">
      <c r="B28" s="203" t="s">
        <v>298</v>
      </c>
      <c r="C28" s="204" t="s">
        <v>299</v>
      </c>
      <c r="D28" s="196">
        <f t="shared" si="13"/>
        <v>166.11939000000001</v>
      </c>
      <c r="E28" s="197">
        <f>E30+E31+E35+E38+E39+E58+E59+E89+E92+E140</f>
        <v>0</v>
      </c>
      <c r="F28" s="195">
        <f t="shared" si="15"/>
        <v>28.977540000000001</v>
      </c>
      <c r="G28" s="198">
        <f>G30+G31+G35+G38+G39+G58+G59+G89+G92+G140</f>
        <v>25.970870000000001</v>
      </c>
      <c r="H28" s="199">
        <f>H30+H31+H35+H38+H39+H58+H59+H89+H92+H140</f>
        <v>2.8400100000000004</v>
      </c>
      <c r="I28" s="200">
        <f>I30+I31+I35+I38+I39+I58+I59+I89+I92+I140</f>
        <v>0.16665999999999986</v>
      </c>
      <c r="J28" s="195">
        <f t="shared" si="16"/>
        <v>34.103180000000009</v>
      </c>
      <c r="K28" s="198">
        <f t="shared" ref="K28:P28" si="20">K30+K31+K35+K38+K39+K58+K59+K89+K92+K140</f>
        <v>7.2916200000000009</v>
      </c>
      <c r="L28" s="199">
        <f t="shared" si="20"/>
        <v>25.494260000000004</v>
      </c>
      <c r="M28" s="199">
        <f t="shared" si="20"/>
        <v>1.3173000000000001</v>
      </c>
      <c r="N28" s="196">
        <f t="shared" si="20"/>
        <v>0</v>
      </c>
      <c r="O28" s="197">
        <f t="shared" si="20"/>
        <v>102.67322</v>
      </c>
      <c r="P28" s="195">
        <f t="shared" si="20"/>
        <v>0.36544999999999994</v>
      </c>
    </row>
    <row r="29" spans="1:21" s="1" customFormat="1" ht="45" customHeight="1" thickTop="1" thickBot="1" x14ac:dyDescent="0.3">
      <c r="B29" s="134" t="s">
        <v>53</v>
      </c>
      <c r="C29" s="135" t="s">
        <v>300</v>
      </c>
      <c r="D29" s="227">
        <f t="shared" si="13"/>
        <v>755.24178343675089</v>
      </c>
      <c r="E29" s="228">
        <f>E30+E31+E34+E37+E40+E43+E45+E51+E52+E57+E63+E66+E81+E82</f>
        <v>17.857094301876497</v>
      </c>
      <c r="F29" s="134">
        <f t="shared" si="15"/>
        <v>139.90508969970682</v>
      </c>
      <c r="G29" s="229">
        <f>G30+G31+G34+G37+G40+G43+G45+G51+G52+G57+G63+G66+G81+G82</f>
        <v>53.109778313540453</v>
      </c>
      <c r="H29" s="230">
        <f>H30+H31+H34+H37+H40+H43+H45+H51+H52+H57+H63+H66+H81+H82</f>
        <v>14.072549712744612</v>
      </c>
      <c r="I29" s="231">
        <f>I30+I31+I34+I37+I40+I43+I45+I51+I52+I57+I63+I66+I81+I82</f>
        <v>72.722761673421758</v>
      </c>
      <c r="J29" s="134">
        <f t="shared" si="16"/>
        <v>203.21874873450395</v>
      </c>
      <c r="K29" s="229">
        <f t="shared" ref="K29:P29" si="21">K30+K31+K34+K37+K40+K43+K45+K51+K52+K57+K63+K66+K81+K82</f>
        <v>70.78035556779264</v>
      </c>
      <c r="L29" s="230">
        <f t="shared" si="21"/>
        <v>114.17844232664214</v>
      </c>
      <c r="M29" s="230">
        <f t="shared" si="21"/>
        <v>18.25995084006917</v>
      </c>
      <c r="N29" s="227">
        <f t="shared" si="21"/>
        <v>0</v>
      </c>
      <c r="O29" s="228">
        <f t="shared" si="21"/>
        <v>293.35474260664819</v>
      </c>
      <c r="P29" s="134">
        <f t="shared" si="21"/>
        <v>100.90610809401551</v>
      </c>
      <c r="Q29" s="232"/>
      <c r="R29" s="232"/>
      <c r="S29" s="205"/>
    </row>
    <row r="30" spans="1:21" s="1" customFormat="1" ht="16.5" thickTop="1" thickBot="1" x14ac:dyDescent="0.3">
      <c r="B30" s="142" t="s">
        <v>55</v>
      </c>
      <c r="C30" s="143" t="s">
        <v>269</v>
      </c>
      <c r="D30" s="144">
        <f t="shared" si="13"/>
        <v>0</v>
      </c>
      <c r="E30" s="145">
        <v>0</v>
      </c>
      <c r="F30" s="146">
        <f t="shared" si="15"/>
        <v>0</v>
      </c>
      <c r="G30" s="233">
        <v>0</v>
      </c>
      <c r="H30" s="234">
        <v>0</v>
      </c>
      <c r="I30" s="235">
        <v>0</v>
      </c>
      <c r="J30" s="154">
        <f t="shared" si="16"/>
        <v>0</v>
      </c>
      <c r="K30" s="233">
        <v>0</v>
      </c>
      <c r="L30" s="234">
        <v>0</v>
      </c>
      <c r="M30" s="234">
        <v>0</v>
      </c>
      <c r="N30" s="236">
        <v>0</v>
      </c>
      <c r="O30" s="237">
        <v>0</v>
      </c>
      <c r="P30" s="238">
        <v>0</v>
      </c>
    </row>
    <row r="31" spans="1:21" s="1" customFormat="1" x14ac:dyDescent="0.25">
      <c r="B31" s="150" t="s">
        <v>141</v>
      </c>
      <c r="C31" s="239" t="s">
        <v>270</v>
      </c>
      <c r="D31" s="152">
        <f t="shared" si="13"/>
        <v>0</v>
      </c>
      <c r="E31" s="153">
        <f>SUM(E32:E33)</f>
        <v>0</v>
      </c>
      <c r="F31" s="154">
        <v>0</v>
      </c>
      <c r="G31" s="155">
        <f>SUM(G32:G33)</f>
        <v>0</v>
      </c>
      <c r="H31" s="156">
        <f>SUM(H32:H33)</f>
        <v>0</v>
      </c>
      <c r="I31" s="157">
        <f>SUM(I32:I33)</f>
        <v>0</v>
      </c>
      <c r="J31" s="154">
        <f t="shared" si="16"/>
        <v>0</v>
      </c>
      <c r="K31" s="155">
        <f t="shared" ref="K31:P31" si="22">SUM(K32:K33)</f>
        <v>0</v>
      </c>
      <c r="L31" s="156">
        <f t="shared" si="22"/>
        <v>0</v>
      </c>
      <c r="M31" s="156">
        <f t="shared" si="22"/>
        <v>0</v>
      </c>
      <c r="N31" s="152">
        <f t="shared" si="22"/>
        <v>0</v>
      </c>
      <c r="O31" s="153">
        <f t="shared" si="22"/>
        <v>0</v>
      </c>
      <c r="P31" s="154">
        <f t="shared" si="22"/>
        <v>0</v>
      </c>
    </row>
    <row r="32" spans="1:21" s="1" customFormat="1" x14ac:dyDescent="0.25">
      <c r="B32" s="167" t="s">
        <v>143</v>
      </c>
      <c r="C32" s="168" t="s">
        <v>270</v>
      </c>
      <c r="D32" s="208">
        <f>J32+N32</f>
        <v>0</v>
      </c>
      <c r="E32" s="240">
        <v>0</v>
      </c>
      <c r="F32" s="241">
        <v>0</v>
      </c>
      <c r="G32" s="242">
        <v>0</v>
      </c>
      <c r="H32" s="97">
        <v>0</v>
      </c>
      <c r="I32" s="243">
        <v>0</v>
      </c>
      <c r="J32" s="206">
        <f t="shared" si="16"/>
        <v>0</v>
      </c>
      <c r="K32" s="242">
        <v>0</v>
      </c>
      <c r="L32" s="97">
        <v>0</v>
      </c>
      <c r="M32" s="97">
        <v>0</v>
      </c>
      <c r="N32" s="244">
        <v>0</v>
      </c>
      <c r="O32" s="240">
        <v>0</v>
      </c>
      <c r="P32" s="241">
        <v>0</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3">E34+F34+J34+N34+O34+P34</f>
        <v>59.881790000000002</v>
      </c>
      <c r="E34" s="153">
        <f>E35+E36</f>
        <v>0</v>
      </c>
      <c r="F34" s="154">
        <f>F35+F36</f>
        <v>18.355540000000001</v>
      </c>
      <c r="G34" s="155">
        <f>G35+G36</f>
        <v>16.110870000000002</v>
      </c>
      <c r="H34" s="156">
        <f>H35+H36</f>
        <v>2.0950100000000003</v>
      </c>
      <c r="I34" s="157">
        <f>I35+I36</f>
        <v>0.14965999999999985</v>
      </c>
      <c r="J34" s="154">
        <f t="shared" si="16"/>
        <v>25.995370000000005</v>
      </c>
      <c r="K34" s="155">
        <f t="shared" ref="K34:P34" si="24">SUM(K35:K36)</f>
        <v>7.2916200000000009</v>
      </c>
      <c r="L34" s="156">
        <f t="shared" si="24"/>
        <v>18.324760000000001</v>
      </c>
      <c r="M34" s="156">
        <f t="shared" si="24"/>
        <v>0.37898999999999999</v>
      </c>
      <c r="N34" s="152">
        <f t="shared" si="24"/>
        <v>0</v>
      </c>
      <c r="O34" s="153">
        <f t="shared" si="24"/>
        <v>15.260430000000001</v>
      </c>
      <c r="P34" s="154">
        <f t="shared" si="24"/>
        <v>0.27044999999999997</v>
      </c>
      <c r="S34" s="205"/>
    </row>
    <row r="35" spans="2:19" s="1" customFormat="1" ht="33" customHeight="1" x14ac:dyDescent="0.25">
      <c r="B35" s="167" t="s">
        <v>304</v>
      </c>
      <c r="C35" s="168" t="s">
        <v>272</v>
      </c>
      <c r="D35" s="208">
        <f t="shared" si="23"/>
        <v>58.2742</v>
      </c>
      <c r="E35" s="245">
        <v>0</v>
      </c>
      <c r="F35" s="206">
        <f t="shared" ref="F35:F66" si="25">SUM(G35:I35)</f>
        <v>18.355540000000001</v>
      </c>
      <c r="G35" s="242">
        <v>16.110870000000002</v>
      </c>
      <c r="H35" s="97">
        <v>2.0950100000000003</v>
      </c>
      <c r="I35" s="243">
        <v>0.14965999999999985</v>
      </c>
      <c r="J35" s="206">
        <f t="shared" si="16"/>
        <v>24.387780000000003</v>
      </c>
      <c r="K35" s="242">
        <v>7.2916200000000009</v>
      </c>
      <c r="L35" s="97">
        <v>16.905810000000002</v>
      </c>
      <c r="M35" s="97">
        <v>0.19035000000000002</v>
      </c>
      <c r="N35" s="244">
        <v>0</v>
      </c>
      <c r="O35" s="240">
        <v>15.260430000000001</v>
      </c>
      <c r="P35" s="241">
        <v>0.27044999999999997</v>
      </c>
    </row>
    <row r="36" spans="2:19" s="1" customFormat="1" ht="26.25" customHeight="1" thickBot="1" x14ac:dyDescent="0.3">
      <c r="B36" s="167" t="s">
        <v>305</v>
      </c>
      <c r="C36" s="168" t="s">
        <v>306</v>
      </c>
      <c r="D36" s="208">
        <f t="shared" si="23"/>
        <v>1.6075900000000001</v>
      </c>
      <c r="E36" s="240">
        <v>0</v>
      </c>
      <c r="F36" s="206">
        <f t="shared" si="25"/>
        <v>0</v>
      </c>
      <c r="G36" s="242">
        <v>0</v>
      </c>
      <c r="H36" s="246">
        <v>0</v>
      </c>
      <c r="I36" s="247">
        <v>0</v>
      </c>
      <c r="J36" s="206">
        <f t="shared" si="16"/>
        <v>1.6075900000000001</v>
      </c>
      <c r="K36" s="248">
        <v>0</v>
      </c>
      <c r="L36" s="246">
        <v>1.4189500000000002</v>
      </c>
      <c r="M36" s="246">
        <v>0.18863999999999997</v>
      </c>
      <c r="N36" s="244">
        <v>0</v>
      </c>
      <c r="O36" s="240">
        <v>0</v>
      </c>
      <c r="P36" s="241">
        <v>0</v>
      </c>
    </row>
    <row r="37" spans="2:19" s="1" customFormat="1" x14ac:dyDescent="0.25">
      <c r="B37" s="150" t="s">
        <v>307</v>
      </c>
      <c r="C37" s="239" t="s">
        <v>273</v>
      </c>
      <c r="D37" s="152">
        <f t="shared" si="23"/>
        <v>96.602189999999993</v>
      </c>
      <c r="E37" s="153">
        <f>E38+E39</f>
        <v>0</v>
      </c>
      <c r="F37" s="154">
        <f t="shared" si="25"/>
        <v>0.745</v>
      </c>
      <c r="G37" s="155">
        <f>G38</f>
        <v>0</v>
      </c>
      <c r="H37" s="156">
        <f>H38</f>
        <v>0.745</v>
      </c>
      <c r="I37" s="157">
        <f>I38</f>
        <v>0</v>
      </c>
      <c r="J37" s="154">
        <f t="shared" si="16"/>
        <v>8.4724000000000004</v>
      </c>
      <c r="K37" s="155">
        <f t="shared" ref="K37:P37" si="26">SUM(K38:K39)</f>
        <v>0</v>
      </c>
      <c r="L37" s="156">
        <f t="shared" si="26"/>
        <v>7.3514499999999998</v>
      </c>
      <c r="M37" s="156">
        <f t="shared" si="26"/>
        <v>1.1209500000000001</v>
      </c>
      <c r="N37" s="152">
        <f t="shared" si="26"/>
        <v>0</v>
      </c>
      <c r="O37" s="153">
        <f t="shared" si="26"/>
        <v>87.384789999999995</v>
      </c>
      <c r="P37" s="154">
        <f t="shared" si="26"/>
        <v>0</v>
      </c>
    </row>
    <row r="38" spans="2:19" s="1" customFormat="1" x14ac:dyDescent="0.25">
      <c r="B38" s="167" t="s">
        <v>308</v>
      </c>
      <c r="C38" s="168" t="s">
        <v>309</v>
      </c>
      <c r="D38" s="208">
        <f t="shared" si="23"/>
        <v>96.602189999999993</v>
      </c>
      <c r="E38" s="245">
        <v>0</v>
      </c>
      <c r="F38" s="206">
        <f t="shared" si="25"/>
        <v>0.745</v>
      </c>
      <c r="G38" s="248">
        <v>0</v>
      </c>
      <c r="H38" s="246">
        <v>0.745</v>
      </c>
      <c r="I38" s="247">
        <v>0</v>
      </c>
      <c r="J38" s="206">
        <f t="shared" si="16"/>
        <v>8.4724000000000004</v>
      </c>
      <c r="K38" s="248">
        <v>0</v>
      </c>
      <c r="L38" s="246">
        <v>7.3514499999999998</v>
      </c>
      <c r="M38" s="246">
        <v>1.1209500000000001</v>
      </c>
      <c r="N38" s="249">
        <v>0</v>
      </c>
      <c r="O38" s="240">
        <v>87.384789999999995</v>
      </c>
      <c r="P38" s="241">
        <v>0</v>
      </c>
    </row>
    <row r="39" spans="2:19" s="1" customFormat="1" ht="15.75" thickBot="1" x14ac:dyDescent="0.3">
      <c r="B39" s="167" t="s">
        <v>310</v>
      </c>
      <c r="C39" s="168" t="s">
        <v>311</v>
      </c>
      <c r="D39" s="208">
        <f t="shared" si="23"/>
        <v>0</v>
      </c>
      <c r="E39" s="245">
        <v>0</v>
      </c>
      <c r="F39" s="206">
        <f t="shared" si="25"/>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3"/>
        <v>15.665950000000002</v>
      </c>
      <c r="E40" s="153">
        <f>SUM(E41:E42)</f>
        <v>1.0933700000000002</v>
      </c>
      <c r="F40" s="154">
        <f t="shared" si="25"/>
        <v>2.1616599999999999</v>
      </c>
      <c r="G40" s="155">
        <f>SUM(G41:G42)</f>
        <v>0.30101999999999995</v>
      </c>
      <c r="H40" s="156">
        <f>SUM(H41:H42)</f>
        <v>0</v>
      </c>
      <c r="I40" s="157">
        <f>SUM(I41:I42)</f>
        <v>1.8606400000000001</v>
      </c>
      <c r="J40" s="154">
        <f t="shared" si="16"/>
        <v>4.1956400000000009</v>
      </c>
      <c r="K40" s="155">
        <f t="shared" ref="K40:P40" si="27">SUM(K41:K42)</f>
        <v>2.1338300000000006</v>
      </c>
      <c r="L40" s="156">
        <f t="shared" si="27"/>
        <v>0</v>
      </c>
      <c r="M40" s="156">
        <f t="shared" si="27"/>
        <v>2.0618099999999999</v>
      </c>
      <c r="N40" s="152">
        <f t="shared" si="27"/>
        <v>0</v>
      </c>
      <c r="O40" s="153">
        <f t="shared" si="27"/>
        <v>2.6673400000000003</v>
      </c>
      <c r="P40" s="154">
        <f t="shared" si="27"/>
        <v>5.5479400000000005</v>
      </c>
    </row>
    <row r="41" spans="2:19" s="1" customFormat="1" ht="31.5" customHeight="1" x14ac:dyDescent="0.25">
      <c r="B41" s="167" t="s">
        <v>314</v>
      </c>
      <c r="C41" s="168" t="s">
        <v>315</v>
      </c>
      <c r="D41" s="208">
        <f t="shared" si="23"/>
        <v>10.358200000000002</v>
      </c>
      <c r="E41" s="240">
        <v>0</v>
      </c>
      <c r="F41" s="206">
        <f t="shared" si="25"/>
        <v>2.1616599999999999</v>
      </c>
      <c r="G41" s="242">
        <v>0.30101999999999995</v>
      </c>
      <c r="H41" s="97">
        <v>0</v>
      </c>
      <c r="I41" s="243">
        <v>1.8606400000000001</v>
      </c>
      <c r="J41" s="206">
        <f t="shared" si="16"/>
        <v>4.1956400000000009</v>
      </c>
      <c r="K41" s="242">
        <v>2.1338300000000006</v>
      </c>
      <c r="L41" s="97">
        <v>0</v>
      </c>
      <c r="M41" s="97">
        <v>2.0618099999999999</v>
      </c>
      <c r="N41" s="244">
        <v>0</v>
      </c>
      <c r="O41" s="240">
        <v>2.6673400000000003</v>
      </c>
      <c r="P41" s="241">
        <v>1.3335599999999999</v>
      </c>
    </row>
    <row r="42" spans="2:19" s="1" customFormat="1" ht="15.75" thickBot="1" x14ac:dyDescent="0.3">
      <c r="B42" s="167" t="s">
        <v>316</v>
      </c>
      <c r="C42" s="168" t="s">
        <v>317</v>
      </c>
      <c r="D42" s="208">
        <f t="shared" si="23"/>
        <v>5.3077500000000004</v>
      </c>
      <c r="E42" s="240">
        <v>1.0933700000000002</v>
      </c>
      <c r="F42" s="206">
        <f t="shared" si="25"/>
        <v>0</v>
      </c>
      <c r="G42" s="242">
        <v>0</v>
      </c>
      <c r="H42" s="97">
        <v>0</v>
      </c>
      <c r="I42" s="243">
        <v>0</v>
      </c>
      <c r="J42" s="206">
        <f t="shared" si="16"/>
        <v>0</v>
      </c>
      <c r="K42" s="242">
        <v>0</v>
      </c>
      <c r="L42" s="97">
        <v>0</v>
      </c>
      <c r="M42" s="97">
        <v>0</v>
      </c>
      <c r="N42" s="244">
        <v>0</v>
      </c>
      <c r="O42" s="240">
        <v>0</v>
      </c>
      <c r="P42" s="241">
        <v>4.2143800000000002</v>
      </c>
    </row>
    <row r="43" spans="2:19" s="1" customFormat="1" x14ac:dyDescent="0.25">
      <c r="B43" s="150" t="s">
        <v>318</v>
      </c>
      <c r="C43" s="239" t="s">
        <v>319</v>
      </c>
      <c r="D43" s="152">
        <f t="shared" si="23"/>
        <v>0</v>
      </c>
      <c r="E43" s="153">
        <f>E44</f>
        <v>0</v>
      </c>
      <c r="F43" s="154">
        <f t="shared" si="25"/>
        <v>0</v>
      </c>
      <c r="G43" s="155">
        <f>G44</f>
        <v>0</v>
      </c>
      <c r="H43" s="156">
        <f>H44</f>
        <v>0</v>
      </c>
      <c r="I43" s="157">
        <f>I44</f>
        <v>0</v>
      </c>
      <c r="J43" s="154">
        <f t="shared" si="16"/>
        <v>0</v>
      </c>
      <c r="K43" s="155">
        <f t="shared" ref="K43:P43" si="28">K44</f>
        <v>0</v>
      </c>
      <c r="L43" s="156">
        <f t="shared" si="28"/>
        <v>0</v>
      </c>
      <c r="M43" s="156">
        <f t="shared" si="28"/>
        <v>0</v>
      </c>
      <c r="N43" s="152">
        <f t="shared" si="28"/>
        <v>0</v>
      </c>
      <c r="O43" s="153">
        <f t="shared" si="28"/>
        <v>0</v>
      </c>
      <c r="P43" s="154">
        <f t="shared" si="28"/>
        <v>0</v>
      </c>
    </row>
    <row r="44" spans="2:19" s="1" customFormat="1" ht="15.75" thickBot="1" x14ac:dyDescent="0.3">
      <c r="B44" s="167" t="s">
        <v>320</v>
      </c>
      <c r="C44" s="168" t="s">
        <v>321</v>
      </c>
      <c r="D44" s="208">
        <f t="shared" si="23"/>
        <v>0</v>
      </c>
      <c r="E44" s="240">
        <v>0</v>
      </c>
      <c r="F44" s="206">
        <f t="shared" si="25"/>
        <v>0</v>
      </c>
      <c r="G44" s="242">
        <v>0</v>
      </c>
      <c r="H44" s="97">
        <v>0</v>
      </c>
      <c r="I44" s="243">
        <v>0</v>
      </c>
      <c r="J44" s="206">
        <f t="shared" si="16"/>
        <v>0</v>
      </c>
      <c r="K44" s="242">
        <v>0</v>
      </c>
      <c r="L44" s="97">
        <v>0</v>
      </c>
      <c r="M44" s="97">
        <v>0</v>
      </c>
      <c r="N44" s="244">
        <v>0</v>
      </c>
      <c r="O44" s="240">
        <v>0</v>
      </c>
      <c r="P44" s="241">
        <v>0</v>
      </c>
    </row>
    <row r="45" spans="2:19" s="1" customFormat="1" x14ac:dyDescent="0.25">
      <c r="B45" s="150" t="s">
        <v>322</v>
      </c>
      <c r="C45" s="239" t="s">
        <v>323</v>
      </c>
      <c r="D45" s="152">
        <f t="shared" si="23"/>
        <v>64.797689999999974</v>
      </c>
      <c r="E45" s="153">
        <f>SUM(E46:E50)</f>
        <v>3.4382800000000029</v>
      </c>
      <c r="F45" s="154">
        <f t="shared" si="25"/>
        <v>12.173309999999999</v>
      </c>
      <c r="G45" s="155">
        <f>SUM(G46:G50)</f>
        <v>4.9356299999999989</v>
      </c>
      <c r="H45" s="156">
        <f>SUM(H46:H50)</f>
        <v>5.1999999999999998E-2</v>
      </c>
      <c r="I45" s="157">
        <f>SUM(I46:I50)</f>
        <v>7.1856800000000005</v>
      </c>
      <c r="J45" s="154">
        <f t="shared" si="16"/>
        <v>15.149149999999995</v>
      </c>
      <c r="K45" s="155">
        <f t="shared" ref="K45:P45" si="29">SUM(K46:K50)</f>
        <v>5.5136499999999993</v>
      </c>
      <c r="L45" s="156">
        <f t="shared" si="29"/>
        <v>7.4414999999999969</v>
      </c>
      <c r="M45" s="156">
        <f t="shared" si="29"/>
        <v>2.194</v>
      </c>
      <c r="N45" s="152">
        <f t="shared" si="29"/>
        <v>0</v>
      </c>
      <c r="O45" s="153">
        <f t="shared" si="29"/>
        <v>16.580269999999999</v>
      </c>
      <c r="P45" s="154">
        <f t="shared" si="29"/>
        <v>17.456679999999974</v>
      </c>
    </row>
    <row r="46" spans="2:19" s="1" customFormat="1" x14ac:dyDescent="0.25">
      <c r="B46" s="167" t="s">
        <v>324</v>
      </c>
      <c r="C46" s="168" t="s">
        <v>277</v>
      </c>
      <c r="D46" s="208">
        <f t="shared" si="23"/>
        <v>58.037539999999964</v>
      </c>
      <c r="E46" s="240">
        <v>2.5017800000000028</v>
      </c>
      <c r="F46" s="206">
        <f t="shared" si="25"/>
        <v>10.682709999999998</v>
      </c>
      <c r="G46" s="242">
        <v>4.9356299999999989</v>
      </c>
      <c r="H46" s="97">
        <v>5.1999999999999998E-2</v>
      </c>
      <c r="I46" s="243">
        <v>5.6950799999999999</v>
      </c>
      <c r="J46" s="206">
        <f t="shared" si="16"/>
        <v>14.874299999999995</v>
      </c>
      <c r="K46" s="242">
        <v>5.5136499999999993</v>
      </c>
      <c r="L46" s="97">
        <v>7.1666499999999971</v>
      </c>
      <c r="M46" s="97">
        <v>2.194</v>
      </c>
      <c r="N46" s="244">
        <v>0</v>
      </c>
      <c r="O46" s="240">
        <v>13.339059999999996</v>
      </c>
      <c r="P46" s="241">
        <v>16.639689999999973</v>
      </c>
    </row>
    <row r="47" spans="2:19" s="1" customFormat="1" x14ac:dyDescent="0.25">
      <c r="B47" s="167" t="s">
        <v>325</v>
      </c>
      <c r="C47" s="168" t="s">
        <v>281</v>
      </c>
      <c r="D47" s="208">
        <f t="shared" si="23"/>
        <v>2.24634</v>
      </c>
      <c r="E47" s="240">
        <v>0</v>
      </c>
      <c r="F47" s="206">
        <f t="shared" si="25"/>
        <v>0.98460000000000003</v>
      </c>
      <c r="G47" s="242">
        <v>0</v>
      </c>
      <c r="H47" s="97">
        <v>0</v>
      </c>
      <c r="I47" s="243">
        <v>0.98460000000000003</v>
      </c>
      <c r="J47" s="206">
        <f t="shared" si="16"/>
        <v>0.27485000000000004</v>
      </c>
      <c r="K47" s="242">
        <v>0</v>
      </c>
      <c r="L47" s="97">
        <v>0.27485000000000004</v>
      </c>
      <c r="M47" s="97">
        <v>0</v>
      </c>
      <c r="N47" s="244">
        <v>0</v>
      </c>
      <c r="O47" s="240">
        <v>0.41199999999999998</v>
      </c>
      <c r="P47" s="241">
        <v>0.57489000000000001</v>
      </c>
    </row>
    <row r="48" spans="2:19" s="1" customFormat="1" x14ac:dyDescent="0.25">
      <c r="B48" s="167" t="s">
        <v>326</v>
      </c>
      <c r="C48" s="250" t="s">
        <v>327</v>
      </c>
      <c r="D48" s="208">
        <f t="shared" si="23"/>
        <v>4.5138099999999994</v>
      </c>
      <c r="E48" s="240">
        <v>0.9365</v>
      </c>
      <c r="F48" s="206">
        <f t="shared" si="25"/>
        <v>0.50600000000000001</v>
      </c>
      <c r="G48" s="242">
        <v>0</v>
      </c>
      <c r="H48" s="97">
        <v>0</v>
      </c>
      <c r="I48" s="243">
        <v>0.50600000000000001</v>
      </c>
      <c r="J48" s="206">
        <f t="shared" si="16"/>
        <v>0</v>
      </c>
      <c r="K48" s="242">
        <v>0</v>
      </c>
      <c r="L48" s="97">
        <v>0</v>
      </c>
      <c r="M48" s="97">
        <v>0</v>
      </c>
      <c r="N48" s="244">
        <v>0</v>
      </c>
      <c r="O48" s="240">
        <v>2.8292099999999998</v>
      </c>
      <c r="P48" s="241">
        <v>0.24209999999999998</v>
      </c>
    </row>
    <row r="49" spans="2:16" s="1" customFormat="1" x14ac:dyDescent="0.25">
      <c r="B49" s="167" t="s">
        <v>328</v>
      </c>
      <c r="C49" s="251" t="s">
        <v>279</v>
      </c>
      <c r="D49" s="208">
        <f t="shared" si="23"/>
        <v>0</v>
      </c>
      <c r="E49" s="240">
        <v>0</v>
      </c>
      <c r="F49" s="206">
        <f t="shared" si="25"/>
        <v>0</v>
      </c>
      <c r="G49" s="242">
        <v>0</v>
      </c>
      <c r="H49" s="97">
        <v>0</v>
      </c>
      <c r="I49" s="243">
        <v>0</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3"/>
        <v>0</v>
      </c>
      <c r="E50" s="240">
        <v>0</v>
      </c>
      <c r="F50" s="206">
        <f t="shared" si="25"/>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3"/>
        <v>117.88793882976186</v>
      </c>
      <c r="E51" s="252">
        <v>3.7849977051061384E-2</v>
      </c>
      <c r="F51" s="154">
        <f t="shared" si="25"/>
        <v>31.542100193611912</v>
      </c>
      <c r="G51" s="253">
        <v>6.9400351828449631</v>
      </c>
      <c r="H51" s="254">
        <v>2.3367364569948776</v>
      </c>
      <c r="I51" s="255">
        <v>22.265328553772072</v>
      </c>
      <c r="J51" s="154">
        <f t="shared" si="16"/>
        <v>31.695092589685629</v>
      </c>
      <c r="K51" s="253">
        <v>22.754228140477942</v>
      </c>
      <c r="L51" s="254">
        <v>8.917312580695576</v>
      </c>
      <c r="M51" s="254">
        <v>2.3551868512110725E-2</v>
      </c>
      <c r="N51" s="256">
        <v>0</v>
      </c>
      <c r="O51" s="257">
        <v>51.114358109722581</v>
      </c>
      <c r="P51" s="258">
        <v>3.4985379596906956</v>
      </c>
    </row>
    <row r="52" spans="2:16" s="1" customFormat="1" x14ac:dyDescent="0.25">
      <c r="B52" s="150" t="s">
        <v>333</v>
      </c>
      <c r="C52" s="239" t="s">
        <v>334</v>
      </c>
      <c r="D52" s="152">
        <f t="shared" si="23"/>
        <v>358.68512460698912</v>
      </c>
      <c r="E52" s="153">
        <f>SUM(E53:E56)</f>
        <v>13.154624324825434</v>
      </c>
      <c r="F52" s="154">
        <f t="shared" si="25"/>
        <v>56.35637950609491</v>
      </c>
      <c r="G52" s="155">
        <f>SUM(G53:G56)</f>
        <v>7.7582131306954913</v>
      </c>
      <c r="H52" s="156">
        <f>SUM(H53:H56)</f>
        <v>8.8299032557497341</v>
      </c>
      <c r="I52" s="157">
        <f>SUM(I53:I56)</f>
        <v>39.768263119649689</v>
      </c>
      <c r="J52" s="154">
        <f t="shared" si="16"/>
        <v>107.72551614481833</v>
      </c>
      <c r="K52" s="155">
        <f t="shared" ref="K52:P52" si="30">SUM(K53:K56)</f>
        <v>32.216347427314687</v>
      </c>
      <c r="L52" s="156">
        <f t="shared" si="30"/>
        <v>65.285529745946576</v>
      </c>
      <c r="M52" s="156">
        <f t="shared" si="30"/>
        <v>10.223638971557063</v>
      </c>
      <c r="N52" s="152">
        <f t="shared" si="30"/>
        <v>0</v>
      </c>
      <c r="O52" s="153">
        <f t="shared" si="30"/>
        <v>110.91420449692562</v>
      </c>
      <c r="P52" s="154">
        <f t="shared" si="30"/>
        <v>70.534400134324812</v>
      </c>
    </row>
    <row r="53" spans="2:16" s="1" customFormat="1" x14ac:dyDescent="0.25">
      <c r="B53" s="259" t="s">
        <v>335</v>
      </c>
      <c r="C53" s="260" t="s">
        <v>336</v>
      </c>
      <c r="D53" s="208">
        <f t="shared" si="23"/>
        <v>350.15222</v>
      </c>
      <c r="E53" s="240">
        <v>12.923659999999998</v>
      </c>
      <c r="F53" s="206">
        <f t="shared" si="25"/>
        <v>55.19303</v>
      </c>
      <c r="G53" s="242">
        <v>7.5739400000000003</v>
      </c>
      <c r="H53" s="97">
        <v>8.6748500000000011</v>
      </c>
      <c r="I53" s="243">
        <v>38.944240000000001</v>
      </c>
      <c r="J53" s="206">
        <f t="shared" si="16"/>
        <v>105.83403</v>
      </c>
      <c r="K53" s="242">
        <v>31.65071</v>
      </c>
      <c r="L53" s="97">
        <v>64.139209999999991</v>
      </c>
      <c r="M53" s="97">
        <v>10.04411</v>
      </c>
      <c r="N53" s="244">
        <v>0</v>
      </c>
      <c r="O53" s="240">
        <v>107.79416000000002</v>
      </c>
      <c r="P53" s="241">
        <v>68.407339999999991</v>
      </c>
    </row>
    <row r="54" spans="2:16" s="1" customFormat="1" x14ac:dyDescent="0.25">
      <c r="B54" s="259" t="s">
        <v>337</v>
      </c>
      <c r="C54" s="260" t="s">
        <v>338</v>
      </c>
      <c r="D54" s="208">
        <f t="shared" si="23"/>
        <v>6.4210046069891167</v>
      </c>
      <c r="E54" s="240">
        <v>0.23096432482543683</v>
      </c>
      <c r="F54" s="206">
        <f t="shared" si="25"/>
        <v>0.9853495060949149</v>
      </c>
      <c r="G54" s="242">
        <v>0.13427313069549093</v>
      </c>
      <c r="H54" s="97">
        <v>0.15505325574973369</v>
      </c>
      <c r="I54" s="243">
        <v>0.69602311964969021</v>
      </c>
      <c r="J54" s="206">
        <f t="shared" si="16"/>
        <v>1.8914861448183353</v>
      </c>
      <c r="K54" s="242">
        <v>0.56563742731468691</v>
      </c>
      <c r="L54" s="97">
        <v>1.146319745946585</v>
      </c>
      <c r="M54" s="97">
        <v>0.17952897155706335</v>
      </c>
      <c r="N54" s="244">
        <v>0</v>
      </c>
      <c r="O54" s="240">
        <v>2.0910444969256035</v>
      </c>
      <c r="P54" s="241">
        <v>1.2221601343248254</v>
      </c>
    </row>
    <row r="55" spans="2:16" s="1" customFormat="1" x14ac:dyDescent="0.25">
      <c r="B55" s="259" t="s">
        <v>339</v>
      </c>
      <c r="C55" s="260" t="s">
        <v>340</v>
      </c>
      <c r="D55" s="208">
        <f t="shared" si="23"/>
        <v>0</v>
      </c>
      <c r="E55" s="240">
        <v>0</v>
      </c>
      <c r="F55" s="206">
        <f t="shared" si="25"/>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3"/>
        <v>2.1118999999999999</v>
      </c>
      <c r="E56" s="240">
        <v>0</v>
      </c>
      <c r="F56" s="206">
        <f t="shared" si="25"/>
        <v>0.17799999999999999</v>
      </c>
      <c r="G56" s="242">
        <v>0.05</v>
      </c>
      <c r="H56" s="97">
        <v>0</v>
      </c>
      <c r="I56" s="243">
        <v>0.128</v>
      </c>
      <c r="J56" s="206">
        <f t="shared" si="16"/>
        <v>0</v>
      </c>
      <c r="K56" s="242">
        <v>0</v>
      </c>
      <c r="L56" s="97">
        <v>0</v>
      </c>
      <c r="M56" s="97">
        <v>0</v>
      </c>
      <c r="N56" s="244">
        <v>0</v>
      </c>
      <c r="O56" s="240">
        <v>1.0289999999999999</v>
      </c>
      <c r="P56" s="241">
        <v>0.90489999999999993</v>
      </c>
    </row>
    <row r="57" spans="2:16" s="1" customFormat="1" x14ac:dyDescent="0.25">
      <c r="B57" s="150" t="s">
        <v>343</v>
      </c>
      <c r="C57" s="239" t="s">
        <v>344</v>
      </c>
      <c r="D57" s="152">
        <f t="shared" si="23"/>
        <v>20.93047</v>
      </c>
      <c r="E57" s="153">
        <f>SUM(E58:E62)</f>
        <v>0</v>
      </c>
      <c r="F57" s="154">
        <f t="shared" si="25"/>
        <v>11.848420000000001</v>
      </c>
      <c r="G57" s="155">
        <f>SUM(G58:G62)</f>
        <v>11.314070000000001</v>
      </c>
      <c r="H57" s="156">
        <f>SUM(H58:H62)</f>
        <v>0</v>
      </c>
      <c r="I57" s="157">
        <f>SUM(I58:I62)</f>
        <v>0.53434999999999999</v>
      </c>
      <c r="J57" s="154">
        <f t="shared" ref="J57:J88" si="31">SUM(K57:M57)</f>
        <v>2.4896499999999997</v>
      </c>
      <c r="K57" s="155">
        <f t="shared" ref="K57:P57" si="32">SUM(K58:K62)</f>
        <v>0.33383000000000002</v>
      </c>
      <c r="L57" s="156">
        <f t="shared" si="32"/>
        <v>2.0868099999999998</v>
      </c>
      <c r="M57" s="156">
        <f t="shared" si="32"/>
        <v>6.9010000000000002E-2</v>
      </c>
      <c r="N57" s="152">
        <f t="shared" si="32"/>
        <v>0</v>
      </c>
      <c r="O57" s="153">
        <f t="shared" si="32"/>
        <v>6.3225999999999996</v>
      </c>
      <c r="P57" s="154">
        <f t="shared" si="32"/>
        <v>0.26979999999999998</v>
      </c>
    </row>
    <row r="58" spans="2:16" s="1" customFormat="1" x14ac:dyDescent="0.25">
      <c r="B58" s="259" t="s">
        <v>345</v>
      </c>
      <c r="C58" s="260" t="s">
        <v>346</v>
      </c>
      <c r="D58" s="169">
        <f t="shared" si="23"/>
        <v>9.8469999999999995</v>
      </c>
      <c r="E58" s="245">
        <v>0</v>
      </c>
      <c r="F58" s="206">
        <f t="shared" si="25"/>
        <v>9.8469999999999995</v>
      </c>
      <c r="G58" s="248">
        <v>9.8469999999999995</v>
      </c>
      <c r="H58" s="246">
        <v>0</v>
      </c>
      <c r="I58" s="247">
        <v>0</v>
      </c>
      <c r="J58" s="206">
        <f t="shared" si="31"/>
        <v>0</v>
      </c>
      <c r="K58" s="248">
        <v>0</v>
      </c>
      <c r="L58" s="246">
        <v>0</v>
      </c>
      <c r="M58" s="246">
        <v>0</v>
      </c>
      <c r="N58" s="249">
        <v>0</v>
      </c>
      <c r="O58" s="245">
        <v>0</v>
      </c>
      <c r="P58" s="261">
        <v>0</v>
      </c>
    </row>
    <row r="59" spans="2:16" s="1" customFormat="1" x14ac:dyDescent="0.25">
      <c r="B59" s="259" t="s">
        <v>347</v>
      </c>
      <c r="C59" s="260" t="s">
        <v>348</v>
      </c>
      <c r="D59" s="169">
        <f t="shared" si="23"/>
        <v>1.3960000000000001</v>
      </c>
      <c r="E59" s="245">
        <v>0</v>
      </c>
      <c r="F59" s="206">
        <f t="shared" si="25"/>
        <v>0.03</v>
      </c>
      <c r="G59" s="248">
        <v>1.2999999999999999E-2</v>
      </c>
      <c r="H59" s="246">
        <v>0</v>
      </c>
      <c r="I59" s="247">
        <v>1.7000000000000001E-2</v>
      </c>
      <c r="J59" s="206">
        <f t="shared" si="31"/>
        <v>1.2430000000000001</v>
      </c>
      <c r="K59" s="248">
        <v>0</v>
      </c>
      <c r="L59" s="246">
        <v>1.2370000000000001</v>
      </c>
      <c r="M59" s="246">
        <v>6.0000000000000001E-3</v>
      </c>
      <c r="N59" s="249">
        <v>0</v>
      </c>
      <c r="O59" s="245">
        <v>2.8000000000000001E-2</v>
      </c>
      <c r="P59" s="261">
        <v>9.5000000000000001E-2</v>
      </c>
    </row>
    <row r="60" spans="2:16" s="1" customFormat="1" x14ac:dyDescent="0.25">
      <c r="B60" s="259" t="s">
        <v>349</v>
      </c>
      <c r="C60" s="260" t="s">
        <v>350</v>
      </c>
      <c r="D60" s="169">
        <f t="shared" si="23"/>
        <v>6.6239999999999997</v>
      </c>
      <c r="E60" s="245">
        <v>0</v>
      </c>
      <c r="F60" s="206">
        <f t="shared" si="25"/>
        <v>0.41199999999999998</v>
      </c>
      <c r="G60" s="248">
        <v>0.41199999999999998</v>
      </c>
      <c r="H60" s="246">
        <v>0</v>
      </c>
      <c r="I60" s="247">
        <v>0</v>
      </c>
      <c r="J60" s="206">
        <f t="shared" si="31"/>
        <v>0</v>
      </c>
      <c r="K60" s="248">
        <v>0</v>
      </c>
      <c r="L60" s="246">
        <v>0</v>
      </c>
      <c r="M60" s="246">
        <v>0</v>
      </c>
      <c r="N60" s="249">
        <v>0</v>
      </c>
      <c r="O60" s="245">
        <v>6.0679999999999996</v>
      </c>
      <c r="P60" s="261">
        <v>0.14399999999999999</v>
      </c>
    </row>
    <row r="61" spans="2:16" s="1" customFormat="1" x14ac:dyDescent="0.25">
      <c r="B61" s="259" t="s">
        <v>351</v>
      </c>
      <c r="C61" s="260" t="s">
        <v>352</v>
      </c>
      <c r="D61" s="169">
        <f t="shared" si="23"/>
        <v>1.9770899999999996</v>
      </c>
      <c r="E61" s="245">
        <v>0</v>
      </c>
      <c r="F61" s="206">
        <f t="shared" si="25"/>
        <v>1.0420699999999998</v>
      </c>
      <c r="G61" s="248">
        <v>1.0420699999999998</v>
      </c>
      <c r="H61" s="246">
        <v>0</v>
      </c>
      <c r="I61" s="247">
        <v>0</v>
      </c>
      <c r="J61" s="206">
        <f t="shared" si="31"/>
        <v>0.67761999999999989</v>
      </c>
      <c r="K61" s="248">
        <v>0.12681000000000001</v>
      </c>
      <c r="L61" s="246">
        <v>0.55080999999999991</v>
      </c>
      <c r="M61" s="246">
        <v>0</v>
      </c>
      <c r="N61" s="249">
        <v>0</v>
      </c>
      <c r="O61" s="245">
        <v>0.2266</v>
      </c>
      <c r="P61" s="261">
        <v>3.0800000000000001E-2</v>
      </c>
    </row>
    <row r="62" spans="2:16" s="1" customFormat="1" ht="15.75" thickBot="1" x14ac:dyDescent="0.3">
      <c r="B62" s="262" t="s">
        <v>353</v>
      </c>
      <c r="C62" s="250" t="s">
        <v>354</v>
      </c>
      <c r="D62" s="177">
        <f t="shared" si="23"/>
        <v>1.0863800000000001</v>
      </c>
      <c r="E62" s="263">
        <v>0</v>
      </c>
      <c r="F62" s="216">
        <f t="shared" si="25"/>
        <v>0.51734999999999998</v>
      </c>
      <c r="G62" s="264">
        <v>0</v>
      </c>
      <c r="H62" s="265">
        <v>0</v>
      </c>
      <c r="I62" s="266">
        <v>0.51734999999999998</v>
      </c>
      <c r="J62" s="216">
        <f t="shared" si="31"/>
        <v>0.56903000000000004</v>
      </c>
      <c r="K62" s="264">
        <v>0.20702000000000001</v>
      </c>
      <c r="L62" s="265">
        <v>0.29899999999999999</v>
      </c>
      <c r="M62" s="265">
        <v>6.3009999999999997E-2</v>
      </c>
      <c r="N62" s="267">
        <v>0</v>
      </c>
      <c r="O62" s="263">
        <v>0</v>
      </c>
      <c r="P62" s="268">
        <v>0</v>
      </c>
    </row>
    <row r="63" spans="2:16" s="1" customFormat="1" x14ac:dyDescent="0.25">
      <c r="B63" s="150" t="s">
        <v>355</v>
      </c>
      <c r="C63" s="239" t="s">
        <v>356</v>
      </c>
      <c r="D63" s="152">
        <f t="shared" si="23"/>
        <v>0</v>
      </c>
      <c r="E63" s="153">
        <f>E64+E65</f>
        <v>0</v>
      </c>
      <c r="F63" s="154">
        <f t="shared" si="25"/>
        <v>0</v>
      </c>
      <c r="G63" s="155">
        <f>G64+G65</f>
        <v>0</v>
      </c>
      <c r="H63" s="156">
        <f>H64+H65</f>
        <v>0</v>
      </c>
      <c r="I63" s="157">
        <f>I64+I65</f>
        <v>0</v>
      </c>
      <c r="J63" s="154">
        <f t="shared" si="31"/>
        <v>0</v>
      </c>
      <c r="K63" s="155">
        <f t="shared" ref="K63:P63" si="33">K64+K65</f>
        <v>0</v>
      </c>
      <c r="L63" s="156">
        <f t="shared" si="33"/>
        <v>0</v>
      </c>
      <c r="M63" s="156">
        <f t="shared" si="33"/>
        <v>0</v>
      </c>
      <c r="N63" s="152">
        <f t="shared" si="33"/>
        <v>0</v>
      </c>
      <c r="O63" s="153">
        <f t="shared" si="33"/>
        <v>0</v>
      </c>
      <c r="P63" s="154">
        <f t="shared" si="33"/>
        <v>0</v>
      </c>
    </row>
    <row r="64" spans="2:16" s="1" customFormat="1" x14ac:dyDescent="0.25">
      <c r="B64" s="259" t="s">
        <v>357</v>
      </c>
      <c r="C64" s="260" t="s">
        <v>358</v>
      </c>
      <c r="D64" s="169">
        <f t="shared" si="23"/>
        <v>0</v>
      </c>
      <c r="E64" s="269">
        <v>0</v>
      </c>
      <c r="F64" s="171">
        <f t="shared" si="25"/>
        <v>0</v>
      </c>
      <c r="G64" s="270">
        <v>0</v>
      </c>
      <c r="H64" s="271">
        <v>0</v>
      </c>
      <c r="I64" s="272">
        <v>0</v>
      </c>
      <c r="J64" s="171">
        <f t="shared" si="31"/>
        <v>0</v>
      </c>
      <c r="K64" s="270">
        <v>0</v>
      </c>
      <c r="L64" s="271">
        <v>0</v>
      </c>
      <c r="M64" s="271">
        <v>0</v>
      </c>
      <c r="N64" s="273">
        <v>0</v>
      </c>
      <c r="O64" s="269">
        <v>0</v>
      </c>
      <c r="P64" s="274">
        <v>0</v>
      </c>
    </row>
    <row r="65" spans="2:16" s="1" customFormat="1" ht="15.75" thickBot="1" x14ac:dyDescent="0.3">
      <c r="B65" s="262" t="s">
        <v>359</v>
      </c>
      <c r="C65" s="250" t="s">
        <v>360</v>
      </c>
      <c r="D65" s="177">
        <f t="shared" si="23"/>
        <v>0</v>
      </c>
      <c r="E65" s="275">
        <v>0</v>
      </c>
      <c r="F65" s="179">
        <f t="shared" si="25"/>
        <v>0</v>
      </c>
      <c r="G65" s="276">
        <v>0</v>
      </c>
      <c r="H65" s="277">
        <v>0</v>
      </c>
      <c r="I65" s="278">
        <v>0</v>
      </c>
      <c r="J65" s="179">
        <f t="shared" si="31"/>
        <v>0</v>
      </c>
      <c r="K65" s="276">
        <v>0</v>
      </c>
      <c r="L65" s="277">
        <v>0</v>
      </c>
      <c r="M65" s="277">
        <v>0</v>
      </c>
      <c r="N65" s="279">
        <v>0</v>
      </c>
      <c r="O65" s="275">
        <v>0</v>
      </c>
      <c r="P65" s="280">
        <v>0</v>
      </c>
    </row>
    <row r="66" spans="2:16" s="1" customFormat="1" x14ac:dyDescent="0.25">
      <c r="B66" s="150" t="s">
        <v>361</v>
      </c>
      <c r="C66" s="239" t="s">
        <v>362</v>
      </c>
      <c r="D66" s="152">
        <f t="shared" ref="D66:D82" si="34">E66+F66+J66+N66+O66+P66</f>
        <v>0.81763000000000019</v>
      </c>
      <c r="E66" s="153">
        <f>SUM(E67:E80)</f>
        <v>0</v>
      </c>
      <c r="F66" s="154">
        <f t="shared" si="25"/>
        <v>0.11174000000000001</v>
      </c>
      <c r="G66" s="155">
        <f>SUM(G67:G80)</f>
        <v>6.4840000000000009E-2</v>
      </c>
      <c r="H66" s="156">
        <f>SUM(H67:H80)</f>
        <v>1.3900000000000001E-2</v>
      </c>
      <c r="I66" s="157">
        <f>SUM(I67:I80)</f>
        <v>3.3000000000000002E-2</v>
      </c>
      <c r="J66" s="154">
        <f t="shared" si="31"/>
        <v>0.25316000000000005</v>
      </c>
      <c r="K66" s="155">
        <f t="shared" ref="K66:P66" si="35">SUM(K67:K80)</f>
        <v>0.13342000000000001</v>
      </c>
      <c r="L66" s="156">
        <f t="shared" si="35"/>
        <v>0.11974000000000003</v>
      </c>
      <c r="M66" s="156">
        <f t="shared" si="35"/>
        <v>0</v>
      </c>
      <c r="N66" s="152">
        <f t="shared" si="35"/>
        <v>0</v>
      </c>
      <c r="O66" s="153">
        <f t="shared" si="35"/>
        <v>0.2624800000000001</v>
      </c>
      <c r="P66" s="154">
        <f t="shared" si="35"/>
        <v>0.19025</v>
      </c>
    </row>
    <row r="67" spans="2:16" s="1" customFormat="1" x14ac:dyDescent="0.25">
      <c r="B67" s="259" t="s">
        <v>363</v>
      </c>
      <c r="C67" s="260" t="s">
        <v>364</v>
      </c>
      <c r="D67" s="169">
        <f t="shared" si="34"/>
        <v>0</v>
      </c>
      <c r="E67" s="281">
        <v>0</v>
      </c>
      <c r="F67" s="171">
        <f t="shared" ref="F67:F97" si="36">SUM(G67:I67)</f>
        <v>0</v>
      </c>
      <c r="G67" s="270">
        <v>0</v>
      </c>
      <c r="H67" s="271">
        <v>0</v>
      </c>
      <c r="I67" s="272">
        <v>0</v>
      </c>
      <c r="J67" s="171">
        <f t="shared" si="31"/>
        <v>0</v>
      </c>
      <c r="K67" s="270">
        <v>0</v>
      </c>
      <c r="L67" s="271">
        <v>0</v>
      </c>
      <c r="M67" s="271">
        <v>0</v>
      </c>
      <c r="N67" s="273">
        <v>0</v>
      </c>
      <c r="O67" s="269">
        <v>0</v>
      </c>
      <c r="P67" s="274">
        <v>0</v>
      </c>
    </row>
    <row r="68" spans="2:16" s="1" customFormat="1" x14ac:dyDescent="0.25">
      <c r="B68" s="259" t="s">
        <v>365</v>
      </c>
      <c r="C68" s="260" t="s">
        <v>366</v>
      </c>
      <c r="D68" s="169">
        <f t="shared" si="34"/>
        <v>0</v>
      </c>
      <c r="E68" s="281">
        <v>0</v>
      </c>
      <c r="F68" s="171">
        <f t="shared" si="36"/>
        <v>0</v>
      </c>
      <c r="G68" s="270">
        <v>0</v>
      </c>
      <c r="H68" s="271">
        <v>0</v>
      </c>
      <c r="I68" s="272">
        <v>0</v>
      </c>
      <c r="J68" s="171">
        <f t="shared" si="31"/>
        <v>0</v>
      </c>
      <c r="K68" s="270">
        <v>0</v>
      </c>
      <c r="L68" s="271">
        <v>0</v>
      </c>
      <c r="M68" s="271">
        <v>0</v>
      </c>
      <c r="N68" s="273">
        <v>0</v>
      </c>
      <c r="O68" s="269">
        <v>0</v>
      </c>
      <c r="P68" s="274">
        <v>0</v>
      </c>
    </row>
    <row r="69" spans="2:16" s="1" customFormat="1" x14ac:dyDescent="0.25">
      <c r="B69" s="259" t="s">
        <v>367</v>
      </c>
      <c r="C69" s="260" t="s">
        <v>368</v>
      </c>
      <c r="D69" s="169">
        <f t="shared" si="34"/>
        <v>0</v>
      </c>
      <c r="E69" s="281">
        <v>0</v>
      </c>
      <c r="F69" s="171">
        <f t="shared" si="36"/>
        <v>0</v>
      </c>
      <c r="G69" s="270">
        <v>0</v>
      </c>
      <c r="H69" s="271">
        <v>0</v>
      </c>
      <c r="I69" s="272">
        <v>0</v>
      </c>
      <c r="J69" s="171">
        <f t="shared" si="31"/>
        <v>0</v>
      </c>
      <c r="K69" s="270">
        <v>0</v>
      </c>
      <c r="L69" s="271">
        <v>0</v>
      </c>
      <c r="M69" s="271">
        <v>0</v>
      </c>
      <c r="N69" s="273">
        <v>0</v>
      </c>
      <c r="O69" s="269">
        <v>0</v>
      </c>
      <c r="P69" s="274">
        <v>0</v>
      </c>
    </row>
    <row r="70" spans="2:16" s="1" customFormat="1" x14ac:dyDescent="0.25">
      <c r="B70" s="259" t="s">
        <v>369</v>
      </c>
      <c r="C70" s="260" t="s">
        <v>370</v>
      </c>
      <c r="D70" s="169">
        <f t="shared" si="34"/>
        <v>0.80937000000000014</v>
      </c>
      <c r="E70" s="281">
        <v>0</v>
      </c>
      <c r="F70" s="171">
        <f t="shared" si="36"/>
        <v>0.11174000000000001</v>
      </c>
      <c r="G70" s="270">
        <v>6.4840000000000009E-2</v>
      </c>
      <c r="H70" s="271">
        <v>1.3900000000000001E-2</v>
      </c>
      <c r="I70" s="272">
        <v>3.3000000000000002E-2</v>
      </c>
      <c r="J70" s="171">
        <f t="shared" si="31"/>
        <v>0.25316000000000005</v>
      </c>
      <c r="K70" s="270">
        <v>0.13342000000000001</v>
      </c>
      <c r="L70" s="271">
        <v>0.11974000000000003</v>
      </c>
      <c r="M70" s="271">
        <v>0</v>
      </c>
      <c r="N70" s="273">
        <v>0</v>
      </c>
      <c r="O70" s="269">
        <v>0.2624800000000001</v>
      </c>
      <c r="P70" s="274">
        <v>0.18199000000000001</v>
      </c>
    </row>
    <row r="71" spans="2:16" s="1" customFormat="1" x14ac:dyDescent="0.25">
      <c r="B71" s="259" t="s">
        <v>371</v>
      </c>
      <c r="C71" s="260" t="s">
        <v>372</v>
      </c>
      <c r="D71" s="169">
        <f t="shared" si="34"/>
        <v>0</v>
      </c>
      <c r="E71" s="281">
        <v>0</v>
      </c>
      <c r="F71" s="171">
        <f t="shared" si="36"/>
        <v>0</v>
      </c>
      <c r="G71" s="270">
        <v>0</v>
      </c>
      <c r="H71" s="271">
        <v>0</v>
      </c>
      <c r="I71" s="272">
        <v>0</v>
      </c>
      <c r="J71" s="171">
        <f t="shared" si="31"/>
        <v>0</v>
      </c>
      <c r="K71" s="270">
        <v>0</v>
      </c>
      <c r="L71" s="271">
        <v>0</v>
      </c>
      <c r="M71" s="271">
        <v>0</v>
      </c>
      <c r="N71" s="273">
        <v>0</v>
      </c>
      <c r="O71" s="269">
        <v>0</v>
      </c>
      <c r="P71" s="274">
        <v>0</v>
      </c>
    </row>
    <row r="72" spans="2:16" s="1" customFormat="1" x14ac:dyDescent="0.25">
      <c r="B72" s="259" t="s">
        <v>373</v>
      </c>
      <c r="C72" s="260" t="s">
        <v>374</v>
      </c>
      <c r="D72" s="169">
        <f t="shared" si="34"/>
        <v>0</v>
      </c>
      <c r="E72" s="281">
        <v>0</v>
      </c>
      <c r="F72" s="171">
        <f t="shared" si="36"/>
        <v>0</v>
      </c>
      <c r="G72" s="270">
        <v>0</v>
      </c>
      <c r="H72" s="271">
        <v>0</v>
      </c>
      <c r="I72" s="272">
        <v>0</v>
      </c>
      <c r="J72" s="171">
        <f t="shared" si="31"/>
        <v>0</v>
      </c>
      <c r="K72" s="270">
        <v>0</v>
      </c>
      <c r="L72" s="271">
        <v>0</v>
      </c>
      <c r="M72" s="271">
        <v>0</v>
      </c>
      <c r="N72" s="273">
        <v>0</v>
      </c>
      <c r="O72" s="269">
        <v>0</v>
      </c>
      <c r="P72" s="274">
        <v>0</v>
      </c>
    </row>
    <row r="73" spans="2:16" s="1" customFormat="1" x14ac:dyDescent="0.25">
      <c r="B73" s="259" t="s">
        <v>375</v>
      </c>
      <c r="C73" s="260" t="s">
        <v>376</v>
      </c>
      <c r="D73" s="169">
        <f t="shared" si="34"/>
        <v>0</v>
      </c>
      <c r="E73" s="281">
        <v>0</v>
      </c>
      <c r="F73" s="171">
        <f t="shared" si="36"/>
        <v>0</v>
      </c>
      <c r="G73" s="270">
        <v>0</v>
      </c>
      <c r="H73" s="271">
        <v>0</v>
      </c>
      <c r="I73" s="272">
        <v>0</v>
      </c>
      <c r="J73" s="171">
        <f t="shared" si="31"/>
        <v>0</v>
      </c>
      <c r="K73" s="270">
        <v>0</v>
      </c>
      <c r="L73" s="271">
        <v>0</v>
      </c>
      <c r="M73" s="271">
        <v>0</v>
      </c>
      <c r="N73" s="273">
        <v>0</v>
      </c>
      <c r="O73" s="269">
        <v>0</v>
      </c>
      <c r="P73" s="274">
        <v>0</v>
      </c>
    </row>
    <row r="74" spans="2:16" s="1" customFormat="1" x14ac:dyDescent="0.25">
      <c r="B74" s="259" t="s">
        <v>377</v>
      </c>
      <c r="C74" s="260" t="s">
        <v>378</v>
      </c>
      <c r="D74" s="169">
        <f t="shared" si="34"/>
        <v>0</v>
      </c>
      <c r="E74" s="281">
        <v>0</v>
      </c>
      <c r="F74" s="171">
        <f t="shared" si="36"/>
        <v>0</v>
      </c>
      <c r="G74" s="270">
        <v>0</v>
      </c>
      <c r="H74" s="271">
        <v>0</v>
      </c>
      <c r="I74" s="272">
        <v>0</v>
      </c>
      <c r="J74" s="171">
        <f t="shared" si="31"/>
        <v>0</v>
      </c>
      <c r="K74" s="270">
        <v>0</v>
      </c>
      <c r="L74" s="271">
        <v>0</v>
      </c>
      <c r="M74" s="271">
        <v>0</v>
      </c>
      <c r="N74" s="273">
        <v>0</v>
      </c>
      <c r="O74" s="269">
        <v>0</v>
      </c>
      <c r="P74" s="274">
        <v>0</v>
      </c>
    </row>
    <row r="75" spans="2:16" s="1" customFormat="1" x14ac:dyDescent="0.25">
      <c r="B75" s="259" t="s">
        <v>379</v>
      </c>
      <c r="C75" s="260" t="s">
        <v>380</v>
      </c>
      <c r="D75" s="169">
        <f t="shared" si="34"/>
        <v>0</v>
      </c>
      <c r="E75" s="281">
        <v>0</v>
      </c>
      <c r="F75" s="171">
        <f t="shared" si="36"/>
        <v>0</v>
      </c>
      <c r="G75" s="270">
        <v>0</v>
      </c>
      <c r="H75" s="271">
        <v>0</v>
      </c>
      <c r="I75" s="272">
        <v>0</v>
      </c>
      <c r="J75" s="171">
        <f t="shared" si="31"/>
        <v>0</v>
      </c>
      <c r="K75" s="270">
        <v>0</v>
      </c>
      <c r="L75" s="271">
        <v>0</v>
      </c>
      <c r="M75" s="271">
        <v>0</v>
      </c>
      <c r="N75" s="273">
        <v>0</v>
      </c>
      <c r="O75" s="269">
        <v>0</v>
      </c>
      <c r="P75" s="274">
        <v>0</v>
      </c>
    </row>
    <row r="76" spans="2:16" s="1" customFormat="1" x14ac:dyDescent="0.25">
      <c r="B76" s="259" t="s">
        <v>381</v>
      </c>
      <c r="C76" s="260" t="s">
        <v>382</v>
      </c>
      <c r="D76" s="169">
        <f t="shared" si="34"/>
        <v>0</v>
      </c>
      <c r="E76" s="281">
        <v>0</v>
      </c>
      <c r="F76" s="171">
        <f t="shared" si="36"/>
        <v>0</v>
      </c>
      <c r="G76" s="270">
        <v>0</v>
      </c>
      <c r="H76" s="271">
        <v>0</v>
      </c>
      <c r="I76" s="272">
        <v>0</v>
      </c>
      <c r="J76" s="171">
        <f t="shared" si="31"/>
        <v>0</v>
      </c>
      <c r="K76" s="270">
        <v>0</v>
      </c>
      <c r="L76" s="271">
        <v>0</v>
      </c>
      <c r="M76" s="271">
        <v>0</v>
      </c>
      <c r="N76" s="273">
        <v>0</v>
      </c>
      <c r="O76" s="269">
        <v>0</v>
      </c>
      <c r="P76" s="274">
        <v>0</v>
      </c>
    </row>
    <row r="77" spans="2:16" s="1" customFormat="1" x14ac:dyDescent="0.25">
      <c r="B77" s="259" t="s">
        <v>383</v>
      </c>
      <c r="C77" s="260" t="s">
        <v>384</v>
      </c>
      <c r="D77" s="169">
        <f t="shared" si="34"/>
        <v>0</v>
      </c>
      <c r="E77" s="281">
        <v>0</v>
      </c>
      <c r="F77" s="171">
        <f t="shared" si="36"/>
        <v>0</v>
      </c>
      <c r="G77" s="270">
        <v>0</v>
      </c>
      <c r="H77" s="271">
        <v>0</v>
      </c>
      <c r="I77" s="272">
        <v>0</v>
      </c>
      <c r="J77" s="171">
        <f t="shared" si="31"/>
        <v>0</v>
      </c>
      <c r="K77" s="270">
        <v>0</v>
      </c>
      <c r="L77" s="271">
        <v>0</v>
      </c>
      <c r="M77" s="271">
        <v>0</v>
      </c>
      <c r="N77" s="273">
        <v>0</v>
      </c>
      <c r="O77" s="269">
        <v>0</v>
      </c>
      <c r="P77" s="274">
        <v>0</v>
      </c>
    </row>
    <row r="78" spans="2:16" s="1" customFormat="1" x14ac:dyDescent="0.25">
      <c r="B78" s="259" t="s">
        <v>385</v>
      </c>
      <c r="C78" s="260" t="s">
        <v>386</v>
      </c>
      <c r="D78" s="169">
        <f t="shared" si="34"/>
        <v>0</v>
      </c>
      <c r="E78" s="281">
        <v>0</v>
      </c>
      <c r="F78" s="171">
        <f t="shared" si="36"/>
        <v>0</v>
      </c>
      <c r="G78" s="270">
        <v>0</v>
      </c>
      <c r="H78" s="271">
        <v>0</v>
      </c>
      <c r="I78" s="272">
        <v>0</v>
      </c>
      <c r="J78" s="171">
        <f t="shared" si="31"/>
        <v>0</v>
      </c>
      <c r="K78" s="270">
        <v>0</v>
      </c>
      <c r="L78" s="271">
        <v>0</v>
      </c>
      <c r="M78" s="271">
        <v>0</v>
      </c>
      <c r="N78" s="273">
        <v>0</v>
      </c>
      <c r="O78" s="269">
        <v>0</v>
      </c>
      <c r="P78" s="274">
        <v>0</v>
      </c>
    </row>
    <row r="79" spans="2:16" s="1" customFormat="1" x14ac:dyDescent="0.25">
      <c r="B79" s="259" t="s">
        <v>387</v>
      </c>
      <c r="C79" s="260" t="s">
        <v>388</v>
      </c>
      <c r="D79" s="169">
        <f t="shared" si="34"/>
        <v>8.26E-3</v>
      </c>
      <c r="E79" s="281">
        <v>0</v>
      </c>
      <c r="F79" s="171">
        <f t="shared" si="36"/>
        <v>0</v>
      </c>
      <c r="G79" s="270">
        <v>0</v>
      </c>
      <c r="H79" s="271">
        <v>0</v>
      </c>
      <c r="I79" s="272">
        <v>0</v>
      </c>
      <c r="J79" s="171">
        <f t="shared" si="31"/>
        <v>0</v>
      </c>
      <c r="K79" s="270">
        <v>0</v>
      </c>
      <c r="L79" s="271">
        <v>0</v>
      </c>
      <c r="M79" s="271">
        <v>0</v>
      </c>
      <c r="N79" s="273">
        <v>0</v>
      </c>
      <c r="O79" s="269">
        <v>0</v>
      </c>
      <c r="P79" s="274">
        <v>8.26E-3</v>
      </c>
    </row>
    <row r="80" spans="2:16" s="1" customFormat="1" ht="15.75" thickBot="1" x14ac:dyDescent="0.3">
      <c r="B80" s="282" t="s">
        <v>389</v>
      </c>
      <c r="C80" s="283" t="s">
        <v>390</v>
      </c>
      <c r="D80" s="284">
        <f t="shared" si="34"/>
        <v>0</v>
      </c>
      <c r="E80" s="285">
        <v>0</v>
      </c>
      <c r="F80" s="286">
        <f t="shared" si="36"/>
        <v>0</v>
      </c>
      <c r="G80" s="287">
        <v>0</v>
      </c>
      <c r="H80" s="288">
        <v>0</v>
      </c>
      <c r="I80" s="289">
        <v>0</v>
      </c>
      <c r="J80" s="286">
        <f t="shared" si="31"/>
        <v>0</v>
      </c>
      <c r="K80" s="287">
        <v>0</v>
      </c>
      <c r="L80" s="288">
        <v>0</v>
      </c>
      <c r="M80" s="288">
        <v>0</v>
      </c>
      <c r="N80" s="290">
        <v>0</v>
      </c>
      <c r="O80" s="291">
        <v>0</v>
      </c>
      <c r="P80" s="292">
        <v>0</v>
      </c>
    </row>
    <row r="81" spans="1:19" s="1" customFormat="1" ht="15.75" thickBot="1" x14ac:dyDescent="0.3">
      <c r="B81" s="293" t="s">
        <v>391</v>
      </c>
      <c r="C81" s="294" t="s">
        <v>392</v>
      </c>
      <c r="D81" s="295">
        <f t="shared" si="34"/>
        <v>0</v>
      </c>
      <c r="E81" s="296">
        <v>0</v>
      </c>
      <c r="F81" s="297">
        <f t="shared" si="36"/>
        <v>0</v>
      </c>
      <c r="G81" s="298">
        <v>0</v>
      </c>
      <c r="H81" s="299">
        <v>0</v>
      </c>
      <c r="I81" s="300">
        <v>0</v>
      </c>
      <c r="J81" s="297">
        <f t="shared" si="31"/>
        <v>0</v>
      </c>
      <c r="K81" s="298">
        <v>0</v>
      </c>
      <c r="L81" s="299">
        <v>0</v>
      </c>
      <c r="M81" s="299">
        <v>0</v>
      </c>
      <c r="N81" s="301">
        <v>0</v>
      </c>
      <c r="O81" s="296">
        <v>0</v>
      </c>
      <c r="P81" s="302">
        <v>0</v>
      </c>
    </row>
    <row r="82" spans="1:19" s="1" customFormat="1" x14ac:dyDescent="0.25">
      <c r="A82" s="303"/>
      <c r="B82" s="150" t="s">
        <v>393</v>
      </c>
      <c r="C82" s="204" t="s">
        <v>394</v>
      </c>
      <c r="D82" s="152">
        <f t="shared" si="34"/>
        <v>19.973000000000003</v>
      </c>
      <c r="E82" s="153">
        <f>SUM(E83:E89)</f>
        <v>0.13297</v>
      </c>
      <c r="F82" s="154">
        <f t="shared" si="36"/>
        <v>6.6109400000000011</v>
      </c>
      <c r="G82" s="155">
        <f>SUM(G83:G89)</f>
        <v>5.6851000000000012</v>
      </c>
      <c r="H82" s="156">
        <f>SUM(H83:H89)</f>
        <v>0</v>
      </c>
      <c r="I82" s="157">
        <f>SUM(I83:I89)</f>
        <v>0.92584000000000011</v>
      </c>
      <c r="J82" s="154">
        <f t="shared" si="31"/>
        <v>7.2427700000000002</v>
      </c>
      <c r="K82" s="155">
        <f t="shared" ref="K82:P82" si="37">SUM(K83:K89)</f>
        <v>0.40343000000000001</v>
      </c>
      <c r="L82" s="156">
        <f t="shared" si="37"/>
        <v>4.6513400000000003</v>
      </c>
      <c r="M82" s="156">
        <f t="shared" si="37"/>
        <v>2.1880000000000002</v>
      </c>
      <c r="N82" s="152">
        <f t="shared" si="37"/>
        <v>0</v>
      </c>
      <c r="O82" s="153">
        <f t="shared" si="37"/>
        <v>2.8482699999999999</v>
      </c>
      <c r="P82" s="154">
        <f t="shared" si="37"/>
        <v>3.1380500000000002</v>
      </c>
    </row>
    <row r="83" spans="1:19" s="1" customFormat="1" x14ac:dyDescent="0.25">
      <c r="A83" s="303"/>
      <c r="B83" s="304" t="s">
        <v>395</v>
      </c>
      <c r="C83" s="305" t="s">
        <v>396</v>
      </c>
      <c r="D83" s="306">
        <f>E83+F83+J83+N83+O83+P83</f>
        <v>0</v>
      </c>
      <c r="E83" s="307">
        <v>0</v>
      </c>
      <c r="F83" s="308">
        <f t="shared" si="36"/>
        <v>0</v>
      </c>
      <c r="G83" s="309">
        <v>0</v>
      </c>
      <c r="H83" s="310">
        <v>0</v>
      </c>
      <c r="I83" s="311">
        <v>0</v>
      </c>
      <c r="J83" s="308">
        <f t="shared" si="31"/>
        <v>0</v>
      </c>
      <c r="K83" s="309">
        <v>0</v>
      </c>
      <c r="L83" s="310">
        <v>0</v>
      </c>
      <c r="M83" s="310">
        <v>0</v>
      </c>
      <c r="N83" s="312">
        <v>0</v>
      </c>
      <c r="O83" s="307">
        <v>0</v>
      </c>
      <c r="P83" s="313">
        <v>0</v>
      </c>
    </row>
    <row r="84" spans="1:19" s="1" customFormat="1" x14ac:dyDescent="0.25">
      <c r="A84" s="303"/>
      <c r="B84" s="304" t="s">
        <v>397</v>
      </c>
      <c r="C84" s="305" t="s">
        <v>398</v>
      </c>
      <c r="D84" s="306">
        <f t="shared" ref="D84:D89" si="38">E84+F84+J84+N84+O84+P84</f>
        <v>3.0205599999999997</v>
      </c>
      <c r="E84" s="307">
        <v>0.13297</v>
      </c>
      <c r="F84" s="308">
        <f t="shared" si="36"/>
        <v>0.93939000000000006</v>
      </c>
      <c r="G84" s="309">
        <v>1.3550000000000001E-2</v>
      </c>
      <c r="H84" s="310">
        <v>0</v>
      </c>
      <c r="I84" s="311">
        <v>0.92584000000000011</v>
      </c>
      <c r="J84" s="308">
        <f t="shared" si="31"/>
        <v>0.15722000000000003</v>
      </c>
      <c r="K84" s="309">
        <v>8.9440000000000006E-2</v>
      </c>
      <c r="L84" s="310">
        <v>5.4200000000000005E-2</v>
      </c>
      <c r="M84" s="310">
        <v>1.3579999999999998E-2</v>
      </c>
      <c r="N84" s="312">
        <v>0</v>
      </c>
      <c r="O84" s="307">
        <v>1.4644299999999999</v>
      </c>
      <c r="P84" s="313">
        <v>0.32655000000000001</v>
      </c>
    </row>
    <row r="85" spans="1:19" s="1" customFormat="1" x14ac:dyDescent="0.25">
      <c r="A85" s="303"/>
      <c r="B85" s="314" t="s">
        <v>399</v>
      </c>
      <c r="C85" s="315" t="s">
        <v>400</v>
      </c>
      <c r="D85" s="306">
        <f t="shared" si="38"/>
        <v>11.343970000000002</v>
      </c>
      <c r="E85" s="240">
        <v>0</v>
      </c>
      <c r="F85" s="206">
        <f t="shared" si="36"/>
        <v>5.6715500000000008</v>
      </c>
      <c r="G85" s="309">
        <v>5.6715500000000008</v>
      </c>
      <c r="H85" s="310">
        <v>0</v>
      </c>
      <c r="I85" s="311">
        <v>0</v>
      </c>
      <c r="J85" s="206">
        <f t="shared" si="31"/>
        <v>4.4523400000000004</v>
      </c>
      <c r="K85" s="309">
        <v>0</v>
      </c>
      <c r="L85" s="310">
        <v>4.3779200000000005</v>
      </c>
      <c r="M85" s="310">
        <v>7.442E-2</v>
      </c>
      <c r="N85" s="312">
        <v>0</v>
      </c>
      <c r="O85" s="307">
        <v>1.2028800000000002</v>
      </c>
      <c r="P85" s="313">
        <v>1.72E-2</v>
      </c>
    </row>
    <row r="86" spans="1:19" s="1" customFormat="1" x14ac:dyDescent="0.25">
      <c r="A86" s="303"/>
      <c r="B86" s="316" t="s">
        <v>401</v>
      </c>
      <c r="C86" s="317" t="s">
        <v>402</v>
      </c>
      <c r="D86" s="306">
        <f t="shared" si="38"/>
        <v>2.8227799999999998</v>
      </c>
      <c r="E86" s="318">
        <v>0</v>
      </c>
      <c r="F86" s="216">
        <f t="shared" si="36"/>
        <v>0</v>
      </c>
      <c r="G86" s="309">
        <v>0</v>
      </c>
      <c r="H86" s="310">
        <v>0</v>
      </c>
      <c r="I86" s="311">
        <v>0</v>
      </c>
      <c r="J86" s="216">
        <f t="shared" si="31"/>
        <v>2.6332100000000001</v>
      </c>
      <c r="K86" s="309">
        <v>0.31398999999999999</v>
      </c>
      <c r="L86" s="310">
        <v>0.21921999999999997</v>
      </c>
      <c r="M86" s="310">
        <v>2.1</v>
      </c>
      <c r="N86" s="312">
        <v>0</v>
      </c>
      <c r="O86" s="307">
        <v>0.18095999999999993</v>
      </c>
      <c r="P86" s="313">
        <v>8.6099999999999996E-3</v>
      </c>
    </row>
    <row r="87" spans="1:19" s="1" customFormat="1" x14ac:dyDescent="0.25">
      <c r="A87" s="303"/>
      <c r="B87" s="316" t="s">
        <v>403</v>
      </c>
      <c r="C87" s="213" t="s">
        <v>404</v>
      </c>
      <c r="D87" s="306">
        <f t="shared" si="38"/>
        <v>2.7856900000000002</v>
      </c>
      <c r="E87" s="318">
        <v>0</v>
      </c>
      <c r="F87" s="216">
        <f t="shared" si="36"/>
        <v>0</v>
      </c>
      <c r="G87" s="309">
        <v>0</v>
      </c>
      <c r="H87" s="310">
        <v>0</v>
      </c>
      <c r="I87" s="311">
        <v>0</v>
      </c>
      <c r="J87" s="216">
        <f t="shared" si="31"/>
        <v>0</v>
      </c>
      <c r="K87" s="309">
        <v>0</v>
      </c>
      <c r="L87" s="310">
        <v>0</v>
      </c>
      <c r="M87" s="310">
        <v>0</v>
      </c>
      <c r="N87" s="312">
        <v>0</v>
      </c>
      <c r="O87" s="307">
        <v>0</v>
      </c>
      <c r="P87" s="313">
        <v>2.7856900000000002</v>
      </c>
    </row>
    <row r="88" spans="1:19" s="1" customFormat="1" x14ac:dyDescent="0.25">
      <c r="A88" s="303"/>
      <c r="B88" s="316" t="s">
        <v>405</v>
      </c>
      <c r="C88" s="213" t="s">
        <v>406</v>
      </c>
      <c r="D88" s="306">
        <f t="shared" si="38"/>
        <v>0</v>
      </c>
      <c r="E88" s="318">
        <v>0</v>
      </c>
      <c r="F88" s="216">
        <f t="shared" si="36"/>
        <v>0</v>
      </c>
      <c r="G88" s="309">
        <v>0</v>
      </c>
      <c r="H88" s="310">
        <v>0</v>
      </c>
      <c r="I88" s="311">
        <v>0</v>
      </c>
      <c r="J88" s="216">
        <f t="shared" si="31"/>
        <v>0</v>
      </c>
      <c r="K88" s="309">
        <v>0</v>
      </c>
      <c r="L88" s="310">
        <v>0</v>
      </c>
      <c r="M88" s="310">
        <v>0</v>
      </c>
      <c r="N88" s="312">
        <v>0</v>
      </c>
      <c r="O88" s="307">
        <v>0</v>
      </c>
      <c r="P88" s="313">
        <v>0</v>
      </c>
    </row>
    <row r="89" spans="1:19" s="1" customFormat="1" ht="15.75" thickBot="1" x14ac:dyDescent="0.3">
      <c r="A89" s="303"/>
      <c r="B89" s="316" t="s">
        <v>407</v>
      </c>
      <c r="C89" s="213" t="s">
        <v>408</v>
      </c>
      <c r="D89" s="306">
        <f t="shared" si="38"/>
        <v>0</v>
      </c>
      <c r="E89" s="318">
        <v>0</v>
      </c>
      <c r="F89" s="216">
        <f t="shared" si="36"/>
        <v>0</v>
      </c>
      <c r="G89" s="319">
        <v>0</v>
      </c>
      <c r="H89" s="320">
        <v>0</v>
      </c>
      <c r="I89" s="321">
        <v>0</v>
      </c>
      <c r="J89" s="216">
        <f t="shared" ref="J89:J120" si="39">SUM(K89:M89)</f>
        <v>0</v>
      </c>
      <c r="K89" s="319">
        <v>0</v>
      </c>
      <c r="L89" s="320">
        <v>0</v>
      </c>
      <c r="M89" s="320">
        <v>0</v>
      </c>
      <c r="N89" s="322">
        <v>0</v>
      </c>
      <c r="O89" s="318">
        <v>0</v>
      </c>
      <c r="P89" s="323">
        <v>0</v>
      </c>
    </row>
    <row r="90" spans="1:19" s="1" customFormat="1" ht="42" customHeight="1" thickTop="1" thickBot="1" x14ac:dyDescent="0.3">
      <c r="A90" s="303"/>
      <c r="B90" s="134" t="s">
        <v>59</v>
      </c>
      <c r="C90" s="135" t="s">
        <v>409</v>
      </c>
      <c r="D90" s="324">
        <f>D91+D94+D97+D99+D105+D106+D111+D115+D118+D133+D134</f>
        <v>0</v>
      </c>
      <c r="E90" s="228">
        <f>E91+E94+E97+E99+E105+E106+E111+E115+E118+E133+E134</f>
        <v>0</v>
      </c>
      <c r="F90" s="134">
        <f t="shared" si="36"/>
        <v>0</v>
      </c>
      <c r="G90" s="229">
        <f>G91+G94+G97+G99+G105+G106+G111+G115+G118+G133+G134</f>
        <v>0</v>
      </c>
      <c r="H90" s="230">
        <f>H91+H94+H97+H99+H105+H106+H111+H115+H118+H133+H134</f>
        <v>0</v>
      </c>
      <c r="I90" s="231">
        <f>I91+I94+I97+I99+I105+I106+I111+I115+I118+I133+I134</f>
        <v>0</v>
      </c>
      <c r="J90" s="134">
        <f t="shared" si="39"/>
        <v>0</v>
      </c>
      <c r="K90" s="229">
        <f t="shared" ref="K90:P90" si="40">K91+K94+K97+K99+K105+K106+K111+K115+K118+K133+K134</f>
        <v>0</v>
      </c>
      <c r="L90" s="230">
        <f t="shared" si="40"/>
        <v>0</v>
      </c>
      <c r="M90" s="230">
        <f t="shared" si="40"/>
        <v>0</v>
      </c>
      <c r="N90" s="227">
        <f t="shared" si="40"/>
        <v>0</v>
      </c>
      <c r="O90" s="228">
        <f t="shared" si="40"/>
        <v>0</v>
      </c>
      <c r="P90" s="134">
        <f t="shared" si="40"/>
        <v>0</v>
      </c>
      <c r="Q90" s="325"/>
      <c r="R90" s="326"/>
    </row>
    <row r="91" spans="1:19" s="1" customFormat="1" ht="15.75" thickTop="1" x14ac:dyDescent="0.25">
      <c r="B91" s="142" t="s">
        <v>150</v>
      </c>
      <c r="C91" s="327" t="s">
        <v>303</v>
      </c>
      <c r="D91" s="328">
        <f>D92+D93</f>
        <v>0</v>
      </c>
      <c r="E91" s="329">
        <f>E92+E93</f>
        <v>0</v>
      </c>
      <c r="F91" s="330">
        <f t="shared" si="36"/>
        <v>0</v>
      </c>
      <c r="G91" s="331">
        <f>G92+G93</f>
        <v>0</v>
      </c>
      <c r="H91" s="332">
        <f>H92+H93</f>
        <v>0</v>
      </c>
      <c r="I91" s="333">
        <f>I92+I93</f>
        <v>0</v>
      </c>
      <c r="J91" s="330">
        <f t="shared" si="39"/>
        <v>0</v>
      </c>
      <c r="K91" s="331">
        <f t="shared" ref="K91:P91" si="41">K92+K93</f>
        <v>0</v>
      </c>
      <c r="L91" s="332">
        <f t="shared" si="41"/>
        <v>0</v>
      </c>
      <c r="M91" s="332">
        <f t="shared" si="41"/>
        <v>0</v>
      </c>
      <c r="N91" s="334">
        <f t="shared" si="41"/>
        <v>0</v>
      </c>
      <c r="O91" s="329">
        <f t="shared" si="41"/>
        <v>0</v>
      </c>
      <c r="P91" s="330">
        <f t="shared" si="41"/>
        <v>0</v>
      </c>
      <c r="Q91" s="325"/>
      <c r="R91" s="326"/>
      <c r="S91" s="205"/>
    </row>
    <row r="92" spans="1:19" s="1" customFormat="1" ht="32.25" customHeight="1" x14ac:dyDescent="0.25">
      <c r="B92" s="167" t="s">
        <v>410</v>
      </c>
      <c r="C92" s="168" t="s">
        <v>272</v>
      </c>
      <c r="D92" s="335">
        <v>0</v>
      </c>
      <c r="E92" s="209">
        <f>IFERROR($D$92*E143/100, 0)</f>
        <v>0</v>
      </c>
      <c r="F92" s="206">
        <f t="shared" si="36"/>
        <v>0</v>
      </c>
      <c r="G92" s="210">
        <f>IFERROR($D$92*G143/100, 0)</f>
        <v>0</v>
      </c>
      <c r="H92" s="211">
        <f>IFERROR($D$92*H143/100, 0)</f>
        <v>0</v>
      </c>
      <c r="I92" s="212">
        <f>IFERROR($D$92*I143/100, 0)</f>
        <v>0</v>
      </c>
      <c r="J92" s="206">
        <f t="shared" si="39"/>
        <v>0</v>
      </c>
      <c r="K92" s="210">
        <f t="shared" ref="K92:P92" si="42">IFERROR($D$92*K143/100, 0)</f>
        <v>0</v>
      </c>
      <c r="L92" s="211">
        <f t="shared" si="42"/>
        <v>0</v>
      </c>
      <c r="M92" s="211">
        <f t="shared" si="42"/>
        <v>0</v>
      </c>
      <c r="N92" s="208">
        <f t="shared" si="42"/>
        <v>0</v>
      </c>
      <c r="O92" s="209">
        <f t="shared" si="42"/>
        <v>0</v>
      </c>
      <c r="P92" s="206">
        <f t="shared" si="42"/>
        <v>0</v>
      </c>
      <c r="Q92" s="336"/>
      <c r="R92" s="337"/>
    </row>
    <row r="93" spans="1:19" s="1" customFormat="1" ht="27" customHeight="1" thickBot="1" x14ac:dyDescent="0.3">
      <c r="B93" s="167" t="s">
        <v>411</v>
      </c>
      <c r="C93" s="168" t="s">
        <v>306</v>
      </c>
      <c r="D93" s="335">
        <v>0</v>
      </c>
      <c r="E93" s="209">
        <f>IFERROR($D$93*E144/100, 0)</f>
        <v>0</v>
      </c>
      <c r="F93" s="206">
        <f t="shared" si="36"/>
        <v>0</v>
      </c>
      <c r="G93" s="210">
        <f>IFERROR($D$93*G144/100, 0)</f>
        <v>0</v>
      </c>
      <c r="H93" s="211">
        <f>IFERROR($D$93*H144/100, 0)</f>
        <v>0</v>
      </c>
      <c r="I93" s="212">
        <f>IFERROR($D$93*I144/100, 0)</f>
        <v>0</v>
      </c>
      <c r="J93" s="206">
        <f t="shared" si="39"/>
        <v>0</v>
      </c>
      <c r="K93" s="210">
        <f t="shared" ref="K93:P93" si="43">IFERROR($D$93*K144/100, 0)</f>
        <v>0</v>
      </c>
      <c r="L93" s="211">
        <f t="shared" si="43"/>
        <v>0</v>
      </c>
      <c r="M93" s="211">
        <f t="shared" si="43"/>
        <v>0</v>
      </c>
      <c r="N93" s="208">
        <f t="shared" si="43"/>
        <v>0</v>
      </c>
      <c r="O93" s="209">
        <f t="shared" si="43"/>
        <v>0</v>
      </c>
      <c r="P93" s="206">
        <f t="shared" si="43"/>
        <v>0</v>
      </c>
      <c r="Q93" s="336"/>
      <c r="R93" s="337"/>
    </row>
    <row r="94" spans="1:19" s="1" customFormat="1" x14ac:dyDescent="0.25">
      <c r="B94" s="150" t="s">
        <v>152</v>
      </c>
      <c r="C94" s="239" t="s">
        <v>313</v>
      </c>
      <c r="D94" s="338">
        <f>D95+D96</f>
        <v>0</v>
      </c>
      <c r="E94" s="153">
        <f>E95+E96</f>
        <v>0</v>
      </c>
      <c r="F94" s="154">
        <f t="shared" si="36"/>
        <v>0</v>
      </c>
      <c r="G94" s="155">
        <f>G95+G96</f>
        <v>0</v>
      </c>
      <c r="H94" s="156">
        <f>H95+H96</f>
        <v>0</v>
      </c>
      <c r="I94" s="157">
        <f>I95+I96</f>
        <v>0</v>
      </c>
      <c r="J94" s="154">
        <f t="shared" si="39"/>
        <v>0</v>
      </c>
      <c r="K94" s="155">
        <f t="shared" ref="K94:P94" si="44">K95+K96</f>
        <v>0</v>
      </c>
      <c r="L94" s="156">
        <f t="shared" si="44"/>
        <v>0</v>
      </c>
      <c r="M94" s="156">
        <f t="shared" si="44"/>
        <v>0</v>
      </c>
      <c r="N94" s="152">
        <f t="shared" si="44"/>
        <v>0</v>
      </c>
      <c r="O94" s="153">
        <f t="shared" si="44"/>
        <v>0</v>
      </c>
      <c r="P94" s="154">
        <f t="shared" si="44"/>
        <v>0</v>
      </c>
      <c r="Q94" s="325"/>
      <c r="R94" s="326"/>
    </row>
    <row r="95" spans="1:19" s="1" customFormat="1" ht="29.25" customHeight="1" x14ac:dyDescent="0.25">
      <c r="B95" s="167" t="s">
        <v>154</v>
      </c>
      <c r="C95" s="168" t="s">
        <v>315</v>
      </c>
      <c r="D95" s="335">
        <v>0</v>
      </c>
      <c r="E95" s="209">
        <f>IFERROR($D$95*E146/100, 0)</f>
        <v>0</v>
      </c>
      <c r="F95" s="206">
        <f t="shared" si="36"/>
        <v>0</v>
      </c>
      <c r="G95" s="210">
        <f>IFERROR($D$95*G146/100, 0)</f>
        <v>0</v>
      </c>
      <c r="H95" s="211">
        <f>IFERROR($D$95*H146/100, 0)</f>
        <v>0</v>
      </c>
      <c r="I95" s="212">
        <f>IFERROR($D$95*I146/100, 0)</f>
        <v>0</v>
      </c>
      <c r="J95" s="206">
        <f t="shared" si="39"/>
        <v>0</v>
      </c>
      <c r="K95" s="210">
        <f t="shared" ref="K95:P95" si="45">IFERROR($D$95*K146/100, 0)</f>
        <v>0</v>
      </c>
      <c r="L95" s="211">
        <f t="shared" si="45"/>
        <v>0</v>
      </c>
      <c r="M95" s="211">
        <f t="shared" si="45"/>
        <v>0</v>
      </c>
      <c r="N95" s="208">
        <f t="shared" si="45"/>
        <v>0</v>
      </c>
      <c r="O95" s="209">
        <f t="shared" si="45"/>
        <v>0</v>
      </c>
      <c r="P95" s="206">
        <f t="shared" si="45"/>
        <v>0</v>
      </c>
      <c r="Q95" s="336"/>
      <c r="R95" s="337"/>
    </row>
    <row r="96" spans="1:19" s="1" customFormat="1" ht="25.5" customHeight="1" thickBot="1" x14ac:dyDescent="0.3">
      <c r="B96" s="167" t="s">
        <v>156</v>
      </c>
      <c r="C96" s="168" t="s">
        <v>317</v>
      </c>
      <c r="D96" s="335">
        <v>0</v>
      </c>
      <c r="E96" s="209">
        <f>IFERROR($D$96*E147/100, 0)</f>
        <v>0</v>
      </c>
      <c r="F96" s="206">
        <f t="shared" si="36"/>
        <v>0</v>
      </c>
      <c r="G96" s="210">
        <f>IFERROR($D$96*G147/100, 0)</f>
        <v>0</v>
      </c>
      <c r="H96" s="211">
        <f>IFERROR($D$96*H147/100, 0)</f>
        <v>0</v>
      </c>
      <c r="I96" s="212">
        <f>IFERROR($D$96*I147/100, 0)</f>
        <v>0</v>
      </c>
      <c r="J96" s="206">
        <f t="shared" si="39"/>
        <v>0</v>
      </c>
      <c r="K96" s="210">
        <f t="shared" ref="K96:P96" si="46">IFERROR($D$96*K147/100, 0)</f>
        <v>0</v>
      </c>
      <c r="L96" s="211">
        <f t="shared" si="46"/>
        <v>0</v>
      </c>
      <c r="M96" s="211">
        <f t="shared" si="46"/>
        <v>0</v>
      </c>
      <c r="N96" s="208">
        <f t="shared" si="46"/>
        <v>0</v>
      </c>
      <c r="O96" s="209">
        <f t="shared" si="46"/>
        <v>0</v>
      </c>
      <c r="P96" s="206">
        <f t="shared" si="46"/>
        <v>0</v>
      </c>
      <c r="Q96" s="336"/>
      <c r="R96" s="337"/>
    </row>
    <row r="97" spans="2:18" s="1" customFormat="1" x14ac:dyDescent="0.25">
      <c r="B97" s="150" t="s">
        <v>160</v>
      </c>
      <c r="C97" s="239" t="s">
        <v>319</v>
      </c>
      <c r="D97" s="338">
        <f>D98</f>
        <v>0</v>
      </c>
      <c r="E97" s="153">
        <f>E98</f>
        <v>0</v>
      </c>
      <c r="F97" s="154">
        <f t="shared" si="36"/>
        <v>0</v>
      </c>
      <c r="G97" s="155">
        <f>G98</f>
        <v>0</v>
      </c>
      <c r="H97" s="156">
        <f>H98</f>
        <v>0</v>
      </c>
      <c r="I97" s="157">
        <f>I98</f>
        <v>0</v>
      </c>
      <c r="J97" s="154">
        <f t="shared" si="39"/>
        <v>0</v>
      </c>
      <c r="K97" s="155">
        <f t="shared" ref="K97:P97" si="47">K98</f>
        <v>0</v>
      </c>
      <c r="L97" s="156">
        <f t="shared" si="47"/>
        <v>0</v>
      </c>
      <c r="M97" s="156">
        <f t="shared" si="47"/>
        <v>0</v>
      </c>
      <c r="N97" s="152">
        <f t="shared" si="47"/>
        <v>0</v>
      </c>
      <c r="O97" s="153">
        <f t="shared" si="47"/>
        <v>0</v>
      </c>
      <c r="P97" s="154">
        <f t="shared" si="47"/>
        <v>0</v>
      </c>
      <c r="Q97" s="325"/>
      <c r="R97" s="326"/>
    </row>
    <row r="98" spans="2:18" s="1" customFormat="1" ht="15.75" thickBot="1" x14ac:dyDescent="0.3">
      <c r="B98" s="167" t="s">
        <v>412</v>
      </c>
      <c r="C98" s="168" t="s">
        <v>321</v>
      </c>
      <c r="D98" s="335">
        <v>0</v>
      </c>
      <c r="E98" s="209">
        <f>IFERROR($D$98*E149/100, 0)</f>
        <v>0</v>
      </c>
      <c r="F98" s="206">
        <f>IFERROR($D$98*F149/100, 0)</f>
        <v>0</v>
      </c>
      <c r="G98" s="210">
        <f>IFERROR($D$98*G149/100, 0)</f>
        <v>0</v>
      </c>
      <c r="H98" s="211">
        <f>IFERROR($D$98*H149/100, 0)</f>
        <v>0</v>
      </c>
      <c r="I98" s="212">
        <f>IFERROR($D$98*I149/100, 0)</f>
        <v>0</v>
      </c>
      <c r="J98" s="206">
        <f t="shared" si="39"/>
        <v>0</v>
      </c>
      <c r="K98" s="210">
        <f t="shared" ref="K98:P98" si="48">IFERROR($D$98*K149/100, 0)</f>
        <v>0</v>
      </c>
      <c r="L98" s="211">
        <f t="shared" si="48"/>
        <v>0</v>
      </c>
      <c r="M98" s="211">
        <f t="shared" si="48"/>
        <v>0</v>
      </c>
      <c r="N98" s="208">
        <f t="shared" si="48"/>
        <v>0</v>
      </c>
      <c r="O98" s="209">
        <f t="shared" si="48"/>
        <v>0</v>
      </c>
      <c r="P98" s="206">
        <f t="shared" si="48"/>
        <v>0</v>
      </c>
      <c r="Q98" s="336"/>
      <c r="R98" s="337"/>
    </row>
    <row r="99" spans="2:18" s="1" customFormat="1" x14ac:dyDescent="0.25">
      <c r="B99" s="150" t="s">
        <v>162</v>
      </c>
      <c r="C99" s="239" t="s">
        <v>323</v>
      </c>
      <c r="D99" s="338">
        <f>SUM(D100:D104)</f>
        <v>0</v>
      </c>
      <c r="E99" s="153">
        <f>SUM(E100:E104)</f>
        <v>0</v>
      </c>
      <c r="F99" s="154">
        <f>SUM(G99:I99)</f>
        <v>0</v>
      </c>
      <c r="G99" s="155">
        <f>SUM(G100:G104)</f>
        <v>0</v>
      </c>
      <c r="H99" s="156">
        <f>SUM(H100:H104)</f>
        <v>0</v>
      </c>
      <c r="I99" s="157">
        <f>SUM(I100:I104)</f>
        <v>0</v>
      </c>
      <c r="J99" s="154">
        <f t="shared" si="39"/>
        <v>0</v>
      </c>
      <c r="K99" s="155">
        <f t="shared" ref="K99:P99" si="49">SUM(K100:K104)</f>
        <v>0</v>
      </c>
      <c r="L99" s="156">
        <f t="shared" si="49"/>
        <v>0</v>
      </c>
      <c r="M99" s="156">
        <f t="shared" si="49"/>
        <v>0</v>
      </c>
      <c r="N99" s="152">
        <f t="shared" si="49"/>
        <v>0</v>
      </c>
      <c r="O99" s="153">
        <f t="shared" si="49"/>
        <v>0</v>
      </c>
      <c r="P99" s="154">
        <f t="shared" si="49"/>
        <v>0</v>
      </c>
      <c r="Q99" s="325"/>
      <c r="R99" s="326"/>
    </row>
    <row r="100" spans="2:18" s="1" customFormat="1" x14ac:dyDescent="0.25">
      <c r="B100" s="167" t="s">
        <v>413</v>
      </c>
      <c r="C100" s="168" t="s">
        <v>277</v>
      </c>
      <c r="D100" s="335">
        <v>0</v>
      </c>
      <c r="E100" s="209">
        <f>IFERROR($D$100*E151/100, 0)</f>
        <v>0</v>
      </c>
      <c r="F100" s="206">
        <f>IFERROR($D$100*F151/100, 0)</f>
        <v>0</v>
      </c>
      <c r="G100" s="210">
        <f>IFERROR($D$100*G151/100, 0)</f>
        <v>0</v>
      </c>
      <c r="H100" s="211">
        <f>IFERROR($D$100*H151/100, 0)</f>
        <v>0</v>
      </c>
      <c r="I100" s="212">
        <f>IFERROR($D$100*I151/100, 0)</f>
        <v>0</v>
      </c>
      <c r="J100" s="206">
        <f t="shared" si="39"/>
        <v>0</v>
      </c>
      <c r="K100" s="210">
        <f t="shared" ref="K100:P100" si="50">IFERROR($D$100*K151/100, 0)</f>
        <v>0</v>
      </c>
      <c r="L100" s="211">
        <f t="shared" si="50"/>
        <v>0</v>
      </c>
      <c r="M100" s="211">
        <f t="shared" si="50"/>
        <v>0</v>
      </c>
      <c r="N100" s="208">
        <f t="shared" si="50"/>
        <v>0</v>
      </c>
      <c r="O100" s="209">
        <f t="shared" si="50"/>
        <v>0</v>
      </c>
      <c r="P100" s="206">
        <f t="shared" si="50"/>
        <v>0</v>
      </c>
      <c r="Q100" s="336"/>
      <c r="R100" s="337"/>
    </row>
    <row r="101" spans="2:18" s="1" customFormat="1" x14ac:dyDescent="0.25">
      <c r="B101" s="167" t="s">
        <v>414</v>
      </c>
      <c r="C101" s="168" t="s">
        <v>281</v>
      </c>
      <c r="D101" s="335">
        <v>0</v>
      </c>
      <c r="E101" s="209">
        <f>IFERROR($D$101*E152/100, 0)</f>
        <v>0</v>
      </c>
      <c r="F101" s="206">
        <f>IFERROR($D$101*F152/100, 0)</f>
        <v>0</v>
      </c>
      <c r="G101" s="210">
        <f>IFERROR($D$101*G152/100, 0)</f>
        <v>0</v>
      </c>
      <c r="H101" s="211">
        <f>IFERROR($D$101*H152/100, 0)</f>
        <v>0</v>
      </c>
      <c r="I101" s="212">
        <f>IFERROR($D$101*I152/100, 0)</f>
        <v>0</v>
      </c>
      <c r="J101" s="206">
        <f t="shared" si="39"/>
        <v>0</v>
      </c>
      <c r="K101" s="210">
        <f t="shared" ref="K101:P101" si="51">IFERROR($D$101*K152/100, 0)</f>
        <v>0</v>
      </c>
      <c r="L101" s="211">
        <f t="shared" si="51"/>
        <v>0</v>
      </c>
      <c r="M101" s="211">
        <f t="shared" si="51"/>
        <v>0</v>
      </c>
      <c r="N101" s="208">
        <f t="shared" si="51"/>
        <v>0</v>
      </c>
      <c r="O101" s="209">
        <f t="shared" si="51"/>
        <v>0</v>
      </c>
      <c r="P101" s="206">
        <f t="shared" si="51"/>
        <v>0</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9"/>
        <v>0</v>
      </c>
      <c r="K102" s="210">
        <f t="shared" ref="K102:P102" si="52">IFERROR($D$102*K153/100, 0)</f>
        <v>0</v>
      </c>
      <c r="L102" s="211">
        <f t="shared" si="52"/>
        <v>0</v>
      </c>
      <c r="M102" s="211">
        <f t="shared" si="52"/>
        <v>0</v>
      </c>
      <c r="N102" s="208">
        <f t="shared" si="52"/>
        <v>0</v>
      </c>
      <c r="O102" s="209">
        <f t="shared" si="52"/>
        <v>0</v>
      </c>
      <c r="P102" s="206">
        <f t="shared" si="52"/>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9"/>
        <v>0</v>
      </c>
      <c r="K103" s="210">
        <f t="shared" ref="K103:P103" si="53">IFERROR($D$103*K154/100, 0)</f>
        <v>0</v>
      </c>
      <c r="L103" s="211">
        <f t="shared" si="53"/>
        <v>0</v>
      </c>
      <c r="M103" s="211">
        <f t="shared" si="53"/>
        <v>0</v>
      </c>
      <c r="N103" s="208">
        <f t="shared" si="53"/>
        <v>0</v>
      </c>
      <c r="O103" s="209">
        <f t="shared" si="53"/>
        <v>0</v>
      </c>
      <c r="P103" s="206">
        <f t="shared" si="53"/>
        <v>0</v>
      </c>
      <c r="Q103" s="336"/>
      <c r="R103" s="337"/>
    </row>
    <row r="104" spans="2:18" s="1" customFormat="1" ht="32.25" customHeight="1" thickBot="1" x14ac:dyDescent="0.3">
      <c r="B104" s="167" t="s">
        <v>417</v>
      </c>
      <c r="C104" s="251" t="s">
        <v>330</v>
      </c>
      <c r="D104" s="335">
        <v>0</v>
      </c>
      <c r="E104" s="209">
        <f>IFERROR($D$104*E155/100, 0)</f>
        <v>0</v>
      </c>
      <c r="F104" s="206">
        <f>IFERROR($D$104*F155/100, 0)</f>
        <v>0</v>
      </c>
      <c r="G104" s="210">
        <f>IFERROR($D$104*G155/100, 0)</f>
        <v>0</v>
      </c>
      <c r="H104" s="211">
        <f>IFERROR($D$104*H155/100, 0)</f>
        <v>0</v>
      </c>
      <c r="I104" s="212">
        <f>IFERROR($D$104*I155/100, 0)</f>
        <v>0</v>
      </c>
      <c r="J104" s="206">
        <f t="shared" si="39"/>
        <v>0</v>
      </c>
      <c r="K104" s="210">
        <f t="shared" ref="K104:P104" si="54">IFERROR($D$104*K155/100, 0)</f>
        <v>0</v>
      </c>
      <c r="L104" s="211">
        <f t="shared" si="54"/>
        <v>0</v>
      </c>
      <c r="M104" s="211">
        <f t="shared" si="54"/>
        <v>0</v>
      </c>
      <c r="N104" s="208">
        <f t="shared" si="54"/>
        <v>0</v>
      </c>
      <c r="O104" s="209">
        <f t="shared" si="54"/>
        <v>0</v>
      </c>
      <c r="P104" s="206">
        <f t="shared" si="54"/>
        <v>0</v>
      </c>
      <c r="Q104" s="336"/>
      <c r="R104" s="337"/>
    </row>
    <row r="105" spans="2:18" s="1" customFormat="1" ht="15.75" thickBot="1" x14ac:dyDescent="0.3">
      <c r="B105" s="150" t="s">
        <v>418</v>
      </c>
      <c r="C105" s="239" t="s">
        <v>332</v>
      </c>
      <c r="D105" s="339">
        <v>0</v>
      </c>
      <c r="E105" s="153">
        <f>IFERROR($D$105*E156/100, 0)</f>
        <v>0</v>
      </c>
      <c r="F105" s="154">
        <f>IFERROR($D$105*F156/100, 0)</f>
        <v>0</v>
      </c>
      <c r="G105" s="155">
        <f>IFERROR($D$105*G156/100, 0)</f>
        <v>0</v>
      </c>
      <c r="H105" s="156">
        <f>IFERROR($D$105*H156/100, 0)</f>
        <v>0</v>
      </c>
      <c r="I105" s="157">
        <f>IFERROR($D$105*I156/100, 0)</f>
        <v>0</v>
      </c>
      <c r="J105" s="154">
        <f t="shared" si="39"/>
        <v>0</v>
      </c>
      <c r="K105" s="155">
        <f t="shared" ref="K105:P105" si="55">IFERROR($D$105*K156/100, 0)</f>
        <v>0</v>
      </c>
      <c r="L105" s="156">
        <f t="shared" si="55"/>
        <v>0</v>
      </c>
      <c r="M105" s="156">
        <f t="shared" si="55"/>
        <v>0</v>
      </c>
      <c r="N105" s="152">
        <f t="shared" si="55"/>
        <v>0</v>
      </c>
      <c r="O105" s="153">
        <f t="shared" si="55"/>
        <v>0</v>
      </c>
      <c r="P105" s="154">
        <f t="shared" si="55"/>
        <v>0</v>
      </c>
      <c r="Q105" s="325"/>
      <c r="R105" s="326"/>
    </row>
    <row r="106" spans="2:18" s="1" customFormat="1" x14ac:dyDescent="0.25">
      <c r="B106" s="150" t="s">
        <v>419</v>
      </c>
      <c r="C106" s="239" t="s">
        <v>334</v>
      </c>
      <c r="D106" s="338">
        <f>SUM(D107:D110)</f>
        <v>0</v>
      </c>
      <c r="E106" s="153">
        <f>SUM(E107:E110)</f>
        <v>0</v>
      </c>
      <c r="F106" s="154">
        <f t="shared" ref="F106:F140" si="56">SUM(G106:I106)</f>
        <v>0</v>
      </c>
      <c r="G106" s="155">
        <f>SUM(G107:G110)</f>
        <v>0</v>
      </c>
      <c r="H106" s="156">
        <f>SUM(H107:H110)</f>
        <v>0</v>
      </c>
      <c r="I106" s="157">
        <f>SUM(I107:I110)</f>
        <v>0</v>
      </c>
      <c r="J106" s="154">
        <f t="shared" si="39"/>
        <v>0</v>
      </c>
      <c r="K106" s="155">
        <f t="shared" ref="K106:P106" si="57">SUM(K107:K110)</f>
        <v>0</v>
      </c>
      <c r="L106" s="156">
        <f t="shared" si="57"/>
        <v>0</v>
      </c>
      <c r="M106" s="156">
        <f t="shared" si="57"/>
        <v>0</v>
      </c>
      <c r="N106" s="152">
        <f t="shared" si="57"/>
        <v>0</v>
      </c>
      <c r="O106" s="153">
        <f t="shared" si="57"/>
        <v>0</v>
      </c>
      <c r="P106" s="154">
        <f t="shared" si="57"/>
        <v>0</v>
      </c>
      <c r="Q106" s="340"/>
      <c r="R106" s="326"/>
    </row>
    <row r="107" spans="2:18" s="1" customFormat="1" x14ac:dyDescent="0.25">
      <c r="B107" s="259" t="s">
        <v>420</v>
      </c>
      <c r="C107" s="260" t="s">
        <v>336</v>
      </c>
      <c r="D107" s="335">
        <v>0</v>
      </c>
      <c r="E107" s="209">
        <f>IFERROR($D$107*E158/100, 0)</f>
        <v>0</v>
      </c>
      <c r="F107" s="206">
        <f t="shared" si="56"/>
        <v>0</v>
      </c>
      <c r="G107" s="210">
        <f>IFERROR($D$107*G158/100, 0)</f>
        <v>0</v>
      </c>
      <c r="H107" s="211">
        <f>IFERROR($D$107*H158/100, 0)</f>
        <v>0</v>
      </c>
      <c r="I107" s="212">
        <f>IFERROR($D$107*I158/100, 0)</f>
        <v>0</v>
      </c>
      <c r="J107" s="206">
        <f t="shared" si="39"/>
        <v>0</v>
      </c>
      <c r="K107" s="210">
        <f t="shared" ref="K107:P107" si="58">IFERROR($D$107*K158/100, 0)</f>
        <v>0</v>
      </c>
      <c r="L107" s="211">
        <f t="shared" si="58"/>
        <v>0</v>
      </c>
      <c r="M107" s="211">
        <f t="shared" si="58"/>
        <v>0</v>
      </c>
      <c r="N107" s="208">
        <f t="shared" si="58"/>
        <v>0</v>
      </c>
      <c r="O107" s="209">
        <f t="shared" si="58"/>
        <v>0</v>
      </c>
      <c r="P107" s="206">
        <f t="shared" si="58"/>
        <v>0</v>
      </c>
      <c r="Q107" s="341"/>
      <c r="R107" s="337"/>
    </row>
    <row r="108" spans="2:18" s="1" customFormat="1" x14ac:dyDescent="0.25">
      <c r="B108" s="259" t="s">
        <v>421</v>
      </c>
      <c r="C108" s="260" t="s">
        <v>338</v>
      </c>
      <c r="D108" s="335">
        <v>0</v>
      </c>
      <c r="E108" s="209">
        <f>IFERROR($D$108*E159/100, 0)</f>
        <v>0</v>
      </c>
      <c r="F108" s="206">
        <f t="shared" si="56"/>
        <v>0</v>
      </c>
      <c r="G108" s="210">
        <f>IFERROR($D$108*G159/100, 0)</f>
        <v>0</v>
      </c>
      <c r="H108" s="211">
        <f>IFERROR($D$108*H159/100, 0)</f>
        <v>0</v>
      </c>
      <c r="I108" s="212">
        <f>IFERROR($D$108*I159/100, 0)</f>
        <v>0</v>
      </c>
      <c r="J108" s="206">
        <f t="shared" si="39"/>
        <v>0</v>
      </c>
      <c r="K108" s="210">
        <f t="shared" ref="K108:P108" si="59">IFERROR($D$108*K159/100, 0)</f>
        <v>0</v>
      </c>
      <c r="L108" s="211">
        <f t="shared" si="59"/>
        <v>0</v>
      </c>
      <c r="M108" s="211">
        <f t="shared" si="59"/>
        <v>0</v>
      </c>
      <c r="N108" s="208">
        <f t="shared" si="59"/>
        <v>0</v>
      </c>
      <c r="O108" s="209">
        <f t="shared" si="59"/>
        <v>0</v>
      </c>
      <c r="P108" s="206">
        <f t="shared" si="59"/>
        <v>0</v>
      </c>
      <c r="Q108" s="341"/>
      <c r="R108" s="337"/>
    </row>
    <row r="109" spans="2:18" s="1" customFormat="1" x14ac:dyDescent="0.25">
      <c r="B109" s="259" t="s">
        <v>422</v>
      </c>
      <c r="C109" s="260" t="s">
        <v>340</v>
      </c>
      <c r="D109" s="335">
        <v>0</v>
      </c>
      <c r="E109" s="209">
        <f>IFERROR($D$109*E160/100, 0)</f>
        <v>0</v>
      </c>
      <c r="F109" s="206">
        <f t="shared" si="56"/>
        <v>0</v>
      </c>
      <c r="G109" s="210">
        <f>IFERROR($D$109*G160/100, 0)</f>
        <v>0</v>
      </c>
      <c r="H109" s="211">
        <f>IFERROR($D$109*H160/100, 0)</f>
        <v>0</v>
      </c>
      <c r="I109" s="212">
        <f>IFERROR($D$109*I160/100, 0)</f>
        <v>0</v>
      </c>
      <c r="J109" s="206">
        <f t="shared" si="39"/>
        <v>0</v>
      </c>
      <c r="K109" s="210">
        <f t="shared" ref="K109:P109" si="60">IFERROR($D$109*K160/100, 0)</f>
        <v>0</v>
      </c>
      <c r="L109" s="211">
        <f t="shared" si="60"/>
        <v>0</v>
      </c>
      <c r="M109" s="211">
        <f t="shared" si="60"/>
        <v>0</v>
      </c>
      <c r="N109" s="208">
        <f t="shared" si="60"/>
        <v>0</v>
      </c>
      <c r="O109" s="209">
        <f t="shared" si="60"/>
        <v>0</v>
      </c>
      <c r="P109" s="206">
        <f t="shared" si="60"/>
        <v>0</v>
      </c>
      <c r="Q109" s="336"/>
      <c r="R109" s="337"/>
    </row>
    <row r="110" spans="2:18" s="1" customFormat="1" ht="15.75" thickBot="1" x14ac:dyDescent="0.3">
      <c r="B110" s="259" t="s">
        <v>423</v>
      </c>
      <c r="C110" s="250" t="s">
        <v>342</v>
      </c>
      <c r="D110" s="342">
        <v>0</v>
      </c>
      <c r="E110" s="215">
        <f>IFERROR($D$110*E161/100, 0)</f>
        <v>0</v>
      </c>
      <c r="F110" s="216">
        <f t="shared" si="56"/>
        <v>0</v>
      </c>
      <c r="G110" s="217">
        <f>IFERROR($D$110*G161/100, 0)</f>
        <v>0</v>
      </c>
      <c r="H110" s="218">
        <f>IFERROR($D$110*H161/100, 0)</f>
        <v>0</v>
      </c>
      <c r="I110" s="219">
        <f>IFERROR($D$110*I161/100, 0)</f>
        <v>0</v>
      </c>
      <c r="J110" s="216">
        <f t="shared" si="39"/>
        <v>0</v>
      </c>
      <c r="K110" s="217">
        <f t="shared" ref="K110:P110" si="61">IFERROR($D$110*K161/100, 0)</f>
        <v>0</v>
      </c>
      <c r="L110" s="218">
        <f t="shared" si="61"/>
        <v>0</v>
      </c>
      <c r="M110" s="218">
        <f t="shared" si="61"/>
        <v>0</v>
      </c>
      <c r="N110" s="214">
        <f t="shared" si="61"/>
        <v>0</v>
      </c>
      <c r="O110" s="215">
        <f t="shared" si="61"/>
        <v>0</v>
      </c>
      <c r="P110" s="216">
        <f t="shared" si="61"/>
        <v>0</v>
      </c>
      <c r="Q110" s="336"/>
      <c r="R110" s="337"/>
    </row>
    <row r="111" spans="2:18" s="1" customFormat="1" x14ac:dyDescent="0.25">
      <c r="B111" s="150" t="s">
        <v>424</v>
      </c>
      <c r="C111" s="239" t="s">
        <v>344</v>
      </c>
      <c r="D111" s="338">
        <f>SUM(D112:D114)</f>
        <v>0</v>
      </c>
      <c r="E111" s="153">
        <f>SUM(E112:E114)</f>
        <v>0</v>
      </c>
      <c r="F111" s="154">
        <f t="shared" si="56"/>
        <v>0</v>
      </c>
      <c r="G111" s="155">
        <f>SUM(G112:G114)</f>
        <v>0</v>
      </c>
      <c r="H111" s="156">
        <f>SUM(H112:H114)</f>
        <v>0</v>
      </c>
      <c r="I111" s="157">
        <f>SUM(I112:I114)</f>
        <v>0</v>
      </c>
      <c r="J111" s="154">
        <f t="shared" si="39"/>
        <v>0</v>
      </c>
      <c r="K111" s="155">
        <f t="shared" ref="K111:P111" si="62">SUM(K112:K114)</f>
        <v>0</v>
      </c>
      <c r="L111" s="156">
        <f t="shared" si="62"/>
        <v>0</v>
      </c>
      <c r="M111" s="156">
        <f t="shared" si="62"/>
        <v>0</v>
      </c>
      <c r="N111" s="152">
        <f t="shared" si="62"/>
        <v>0</v>
      </c>
      <c r="O111" s="153">
        <f t="shared" si="62"/>
        <v>0</v>
      </c>
      <c r="P111" s="154">
        <f t="shared" si="62"/>
        <v>0</v>
      </c>
      <c r="Q111" s="325"/>
      <c r="R111" s="326"/>
    </row>
    <row r="112" spans="2:18" s="1" customFormat="1" x14ac:dyDescent="0.25">
      <c r="B112" s="259" t="s">
        <v>425</v>
      </c>
      <c r="C112" s="260" t="s">
        <v>350</v>
      </c>
      <c r="D112" s="335">
        <v>0</v>
      </c>
      <c r="E112" s="209">
        <f>IFERROR($D$112*E163/100, 0)</f>
        <v>0</v>
      </c>
      <c r="F112" s="206">
        <f t="shared" si="56"/>
        <v>0</v>
      </c>
      <c r="G112" s="210">
        <f>IFERROR($D$112*G163/100, 0)</f>
        <v>0</v>
      </c>
      <c r="H112" s="211">
        <f>IFERROR($D$112*H163/100, 0)</f>
        <v>0</v>
      </c>
      <c r="I112" s="212">
        <f>IFERROR($D$112*I163/100, 0)</f>
        <v>0</v>
      </c>
      <c r="J112" s="206">
        <f t="shared" si="39"/>
        <v>0</v>
      </c>
      <c r="K112" s="210">
        <f t="shared" ref="K112:P112" si="63">IFERROR($D$112*K163/100, 0)</f>
        <v>0</v>
      </c>
      <c r="L112" s="211">
        <f t="shared" si="63"/>
        <v>0</v>
      </c>
      <c r="M112" s="211">
        <f t="shared" si="63"/>
        <v>0</v>
      </c>
      <c r="N112" s="208">
        <f t="shared" si="63"/>
        <v>0</v>
      </c>
      <c r="O112" s="209">
        <f t="shared" si="63"/>
        <v>0</v>
      </c>
      <c r="P112" s="206">
        <f t="shared" si="63"/>
        <v>0</v>
      </c>
      <c r="Q112" s="336"/>
      <c r="R112" s="337"/>
    </row>
    <row r="113" spans="2:18" s="1" customFormat="1" x14ac:dyDescent="0.25">
      <c r="B113" s="262" t="s">
        <v>426</v>
      </c>
      <c r="C113" s="260" t="s">
        <v>352</v>
      </c>
      <c r="D113" s="342">
        <v>0</v>
      </c>
      <c r="E113" s="209">
        <f>IFERROR($D$113*E164/100, 0)</f>
        <v>0</v>
      </c>
      <c r="F113" s="206">
        <f t="shared" si="56"/>
        <v>0</v>
      </c>
      <c r="G113" s="210">
        <f>IFERROR($D$113*G164/100, 0)</f>
        <v>0</v>
      </c>
      <c r="H113" s="211">
        <f>IFERROR($D$113*H164/100, 0)</f>
        <v>0</v>
      </c>
      <c r="I113" s="212">
        <f>IFERROR($D$113*I164/100, 0)</f>
        <v>0</v>
      </c>
      <c r="J113" s="206">
        <f t="shared" si="39"/>
        <v>0</v>
      </c>
      <c r="K113" s="210">
        <f t="shared" ref="K113:P113" si="64">IFERROR($D$113*K164/100, 0)</f>
        <v>0</v>
      </c>
      <c r="L113" s="211">
        <f t="shared" si="64"/>
        <v>0</v>
      </c>
      <c r="M113" s="211">
        <f t="shared" si="64"/>
        <v>0</v>
      </c>
      <c r="N113" s="208">
        <f t="shared" si="64"/>
        <v>0</v>
      </c>
      <c r="O113" s="209">
        <f t="shared" si="64"/>
        <v>0</v>
      </c>
      <c r="P113" s="206">
        <f t="shared" si="64"/>
        <v>0</v>
      </c>
      <c r="Q113" s="336"/>
      <c r="R113" s="337"/>
    </row>
    <row r="114" spans="2:18" s="1" customFormat="1" ht="15.75" thickBot="1" x14ac:dyDescent="0.3">
      <c r="B114" s="262" t="s">
        <v>427</v>
      </c>
      <c r="C114" s="250" t="s">
        <v>354</v>
      </c>
      <c r="D114" s="342">
        <v>0</v>
      </c>
      <c r="E114" s="209">
        <f>IFERROR($D$114*E165/100, 0)</f>
        <v>0</v>
      </c>
      <c r="F114" s="216">
        <f t="shared" si="56"/>
        <v>0</v>
      </c>
      <c r="G114" s="217">
        <f>IFERROR($D$114*G165/100, 0)</f>
        <v>0</v>
      </c>
      <c r="H114" s="218">
        <f>IFERROR($D$114*H165/100, 0)</f>
        <v>0</v>
      </c>
      <c r="I114" s="219">
        <f>IFERROR($D$114*I165/100, 0)</f>
        <v>0</v>
      </c>
      <c r="J114" s="216">
        <f t="shared" si="39"/>
        <v>0</v>
      </c>
      <c r="K114" s="217">
        <f t="shared" ref="K114:P114" si="65">IFERROR($D$114*K165/100, 0)</f>
        <v>0</v>
      </c>
      <c r="L114" s="218">
        <f t="shared" si="65"/>
        <v>0</v>
      </c>
      <c r="M114" s="218">
        <f t="shared" si="65"/>
        <v>0</v>
      </c>
      <c r="N114" s="214">
        <f t="shared" si="65"/>
        <v>0</v>
      </c>
      <c r="O114" s="215">
        <f t="shared" si="65"/>
        <v>0</v>
      </c>
      <c r="P114" s="216">
        <f t="shared" si="65"/>
        <v>0</v>
      </c>
      <c r="Q114" s="336"/>
      <c r="R114" s="337"/>
    </row>
    <row r="115" spans="2:18" s="1" customFormat="1" x14ac:dyDescent="0.25">
      <c r="B115" s="150" t="s">
        <v>428</v>
      </c>
      <c r="C115" s="239" t="s">
        <v>356</v>
      </c>
      <c r="D115" s="338">
        <f>SUM(D116:D117)</f>
        <v>0</v>
      </c>
      <c r="E115" s="153">
        <f>E116+E117</f>
        <v>0</v>
      </c>
      <c r="F115" s="154">
        <f t="shared" si="56"/>
        <v>0</v>
      </c>
      <c r="G115" s="155">
        <f>G116+G117</f>
        <v>0</v>
      </c>
      <c r="H115" s="156">
        <f>H116+H117</f>
        <v>0</v>
      </c>
      <c r="I115" s="157">
        <f>I116+I117</f>
        <v>0</v>
      </c>
      <c r="J115" s="154">
        <f t="shared" si="39"/>
        <v>0</v>
      </c>
      <c r="K115" s="155">
        <f t="shared" ref="K115:P115" si="66">K116+K117</f>
        <v>0</v>
      </c>
      <c r="L115" s="156">
        <f t="shared" si="66"/>
        <v>0</v>
      </c>
      <c r="M115" s="156">
        <f t="shared" si="66"/>
        <v>0</v>
      </c>
      <c r="N115" s="152">
        <f t="shared" si="66"/>
        <v>0</v>
      </c>
      <c r="O115" s="153">
        <f t="shared" si="66"/>
        <v>0</v>
      </c>
      <c r="P115" s="154">
        <f t="shared" si="66"/>
        <v>0</v>
      </c>
      <c r="Q115" s="325"/>
      <c r="R115" s="326"/>
    </row>
    <row r="116" spans="2:18" s="1" customFormat="1" x14ac:dyDescent="0.25">
      <c r="B116" s="259" t="s">
        <v>429</v>
      </c>
      <c r="C116" s="260" t="s">
        <v>358</v>
      </c>
      <c r="D116" s="343">
        <v>0</v>
      </c>
      <c r="E116" s="209">
        <f>IFERROR($D$116*E167/100, 0)</f>
        <v>0</v>
      </c>
      <c r="F116" s="206">
        <f t="shared" si="56"/>
        <v>0</v>
      </c>
      <c r="G116" s="210">
        <f>IFERROR($D$116*G167/100, 0)</f>
        <v>0</v>
      </c>
      <c r="H116" s="211">
        <f>IFERROR($D$116*H167/100, 0)</f>
        <v>0</v>
      </c>
      <c r="I116" s="212">
        <f>IFERROR($D$116*I167/100, 0)</f>
        <v>0</v>
      </c>
      <c r="J116" s="206">
        <f t="shared" si="39"/>
        <v>0</v>
      </c>
      <c r="K116" s="210">
        <f t="shared" ref="K116:P116" si="67">IFERROR($D$116*K167/100, 0)</f>
        <v>0</v>
      </c>
      <c r="L116" s="211">
        <f t="shared" si="67"/>
        <v>0</v>
      </c>
      <c r="M116" s="211">
        <f t="shared" si="67"/>
        <v>0</v>
      </c>
      <c r="N116" s="208">
        <f t="shared" si="67"/>
        <v>0</v>
      </c>
      <c r="O116" s="209">
        <f t="shared" si="67"/>
        <v>0</v>
      </c>
      <c r="P116" s="206">
        <f t="shared" si="67"/>
        <v>0</v>
      </c>
      <c r="Q116" s="336"/>
      <c r="R116" s="337"/>
    </row>
    <row r="117" spans="2:18" s="1" customFormat="1" ht="15.75" thickBot="1" x14ac:dyDescent="0.3">
      <c r="B117" s="262" t="s">
        <v>430</v>
      </c>
      <c r="C117" s="250" t="s">
        <v>360</v>
      </c>
      <c r="D117" s="344">
        <v>0</v>
      </c>
      <c r="E117" s="215">
        <f>IFERROR($D$117*E168/100, 0)</f>
        <v>0</v>
      </c>
      <c r="F117" s="216">
        <f t="shared" si="56"/>
        <v>0</v>
      </c>
      <c r="G117" s="217">
        <f>IFERROR($D$117*G168/100, 0)</f>
        <v>0</v>
      </c>
      <c r="H117" s="218">
        <f>IFERROR($D$117*H168/100, 0)</f>
        <v>0</v>
      </c>
      <c r="I117" s="219">
        <f>IFERROR($D$117*I168/100, 0)</f>
        <v>0</v>
      </c>
      <c r="J117" s="216">
        <f t="shared" si="39"/>
        <v>0</v>
      </c>
      <c r="K117" s="217">
        <f t="shared" ref="K117:P117" si="68">IFERROR($D$117*K168/100, 0)</f>
        <v>0</v>
      </c>
      <c r="L117" s="218">
        <f t="shared" si="68"/>
        <v>0</v>
      </c>
      <c r="M117" s="218">
        <f t="shared" si="68"/>
        <v>0</v>
      </c>
      <c r="N117" s="214">
        <f t="shared" si="68"/>
        <v>0</v>
      </c>
      <c r="O117" s="215">
        <f t="shared" si="68"/>
        <v>0</v>
      </c>
      <c r="P117" s="216">
        <f t="shared" si="68"/>
        <v>0</v>
      </c>
      <c r="Q117" s="336"/>
      <c r="R117" s="337"/>
    </row>
    <row r="118" spans="2:18" s="1" customFormat="1" x14ac:dyDescent="0.25">
      <c r="B118" s="150" t="s">
        <v>431</v>
      </c>
      <c r="C118" s="239" t="s">
        <v>362</v>
      </c>
      <c r="D118" s="338">
        <f>SUM(D119:D132)</f>
        <v>0</v>
      </c>
      <c r="E118" s="153">
        <f>SUM(E119:E132)</f>
        <v>0</v>
      </c>
      <c r="F118" s="154">
        <f t="shared" si="56"/>
        <v>0</v>
      </c>
      <c r="G118" s="155">
        <f>SUM(G119:G132)</f>
        <v>0</v>
      </c>
      <c r="H118" s="156">
        <f>SUM(H119:H132)</f>
        <v>0</v>
      </c>
      <c r="I118" s="157">
        <f>SUM(I119:I132)</f>
        <v>0</v>
      </c>
      <c r="J118" s="154">
        <f t="shared" si="39"/>
        <v>0</v>
      </c>
      <c r="K118" s="155">
        <f t="shared" ref="K118:P118" si="69">SUM(K119:K132)</f>
        <v>0</v>
      </c>
      <c r="L118" s="156">
        <f t="shared" si="69"/>
        <v>0</v>
      </c>
      <c r="M118" s="156">
        <f t="shared" si="69"/>
        <v>0</v>
      </c>
      <c r="N118" s="152">
        <f t="shared" si="69"/>
        <v>0</v>
      </c>
      <c r="O118" s="153">
        <f t="shared" si="69"/>
        <v>0</v>
      </c>
      <c r="P118" s="154">
        <f t="shared" si="69"/>
        <v>0</v>
      </c>
      <c r="Q118" s="325"/>
      <c r="R118" s="326"/>
    </row>
    <row r="119" spans="2:18" s="1" customFormat="1" x14ac:dyDescent="0.25">
      <c r="B119" s="259" t="s">
        <v>432</v>
      </c>
      <c r="C119" s="260" t="s">
        <v>364</v>
      </c>
      <c r="D119" s="335">
        <v>0</v>
      </c>
      <c r="E119" s="209">
        <f>IFERROR($D$119*E170/100, 0)</f>
        <v>0</v>
      </c>
      <c r="F119" s="206">
        <f t="shared" si="56"/>
        <v>0</v>
      </c>
      <c r="G119" s="210">
        <f>IFERROR($D$119*G170/100, 0)</f>
        <v>0</v>
      </c>
      <c r="H119" s="211">
        <f>IFERROR($D$119*H170/100, 0)</f>
        <v>0</v>
      </c>
      <c r="I119" s="212">
        <f>IFERROR($D$119*I170/100, 0)</f>
        <v>0</v>
      </c>
      <c r="J119" s="206">
        <f t="shared" si="39"/>
        <v>0</v>
      </c>
      <c r="K119" s="210">
        <f t="shared" ref="K119:P119" si="70">IFERROR($D$119*K170/100, 0)</f>
        <v>0</v>
      </c>
      <c r="L119" s="211">
        <f t="shared" si="70"/>
        <v>0</v>
      </c>
      <c r="M119" s="211">
        <f t="shared" si="70"/>
        <v>0</v>
      </c>
      <c r="N119" s="208">
        <f t="shared" si="70"/>
        <v>0</v>
      </c>
      <c r="O119" s="209">
        <f t="shared" si="70"/>
        <v>0</v>
      </c>
      <c r="P119" s="206">
        <f t="shared" si="70"/>
        <v>0</v>
      </c>
      <c r="Q119" s="336"/>
      <c r="R119" s="337"/>
    </row>
    <row r="120" spans="2:18" s="1" customFormat="1" x14ac:dyDescent="0.25">
      <c r="B120" s="259" t="s">
        <v>433</v>
      </c>
      <c r="C120" s="260" t="s">
        <v>366</v>
      </c>
      <c r="D120" s="335">
        <v>0</v>
      </c>
      <c r="E120" s="209">
        <f>IFERROR($D$120*E171/100, 0)</f>
        <v>0</v>
      </c>
      <c r="F120" s="206">
        <f t="shared" si="56"/>
        <v>0</v>
      </c>
      <c r="G120" s="210">
        <f>IFERROR($D$120*G171/100, 0)</f>
        <v>0</v>
      </c>
      <c r="H120" s="211">
        <f>IFERROR($D$120*H171/100, 0)</f>
        <v>0</v>
      </c>
      <c r="I120" s="212">
        <f>IFERROR($D$120*I171/100, 0)</f>
        <v>0</v>
      </c>
      <c r="J120" s="206">
        <f t="shared" si="39"/>
        <v>0</v>
      </c>
      <c r="K120" s="210">
        <f t="shared" ref="K120:P120" si="71">IFERROR($D$120*K171/100, 0)</f>
        <v>0</v>
      </c>
      <c r="L120" s="211">
        <f t="shared" si="71"/>
        <v>0</v>
      </c>
      <c r="M120" s="211">
        <f t="shared" si="71"/>
        <v>0</v>
      </c>
      <c r="N120" s="208">
        <f t="shared" si="71"/>
        <v>0</v>
      </c>
      <c r="O120" s="209">
        <f t="shared" si="71"/>
        <v>0</v>
      </c>
      <c r="P120" s="206">
        <f t="shared" si="71"/>
        <v>0</v>
      </c>
      <c r="Q120" s="336"/>
      <c r="R120" s="337"/>
    </row>
    <row r="121" spans="2:18" s="1" customFormat="1" x14ac:dyDescent="0.25">
      <c r="B121" s="259" t="s">
        <v>434</v>
      </c>
      <c r="C121" s="260" t="s">
        <v>368</v>
      </c>
      <c r="D121" s="335">
        <v>0</v>
      </c>
      <c r="E121" s="209">
        <f>IFERROR($D$121*E172/100, 0)</f>
        <v>0</v>
      </c>
      <c r="F121" s="206">
        <f t="shared" si="56"/>
        <v>0</v>
      </c>
      <c r="G121" s="210">
        <f>IFERROR($D$121*G172/100, 0)</f>
        <v>0</v>
      </c>
      <c r="H121" s="211">
        <f>IFERROR($D$121*H172/100, 0)</f>
        <v>0</v>
      </c>
      <c r="I121" s="212">
        <f>IFERROR($D$121*I172/100, 0)</f>
        <v>0</v>
      </c>
      <c r="J121" s="206">
        <f t="shared" ref="J121:J140" si="72">SUM(K121:M121)</f>
        <v>0</v>
      </c>
      <c r="K121" s="210">
        <f t="shared" ref="K121:P121" si="73">IFERROR($D$121*K172/100, 0)</f>
        <v>0</v>
      </c>
      <c r="L121" s="211">
        <f t="shared" si="73"/>
        <v>0</v>
      </c>
      <c r="M121" s="211">
        <f t="shared" si="73"/>
        <v>0</v>
      </c>
      <c r="N121" s="208">
        <f t="shared" si="73"/>
        <v>0</v>
      </c>
      <c r="O121" s="209">
        <f t="shared" si="73"/>
        <v>0</v>
      </c>
      <c r="P121" s="206">
        <f t="shared" si="73"/>
        <v>0</v>
      </c>
      <c r="Q121" s="336"/>
      <c r="R121" s="337"/>
    </row>
    <row r="122" spans="2:18" s="1" customFormat="1" x14ac:dyDescent="0.25">
      <c r="B122" s="259" t="s">
        <v>435</v>
      </c>
      <c r="C122" s="260" t="s">
        <v>370</v>
      </c>
      <c r="D122" s="335">
        <v>0</v>
      </c>
      <c r="E122" s="209">
        <f>IFERROR($D$122*E173/100, 0)</f>
        <v>0</v>
      </c>
      <c r="F122" s="206">
        <f t="shared" si="56"/>
        <v>0</v>
      </c>
      <c r="G122" s="210">
        <f>IFERROR($D$122*G173/100, 0)</f>
        <v>0</v>
      </c>
      <c r="H122" s="211">
        <f>IFERROR($D$122*H173/100, 0)</f>
        <v>0</v>
      </c>
      <c r="I122" s="212">
        <f>IFERROR($D$122*I173/100, 0)</f>
        <v>0</v>
      </c>
      <c r="J122" s="206">
        <f t="shared" si="72"/>
        <v>0</v>
      </c>
      <c r="K122" s="210">
        <f t="shared" ref="K122:P122" si="74">IFERROR($D$122*K173/100, 0)</f>
        <v>0</v>
      </c>
      <c r="L122" s="211">
        <f t="shared" si="74"/>
        <v>0</v>
      </c>
      <c r="M122" s="211">
        <f t="shared" si="74"/>
        <v>0</v>
      </c>
      <c r="N122" s="208">
        <f t="shared" si="74"/>
        <v>0</v>
      </c>
      <c r="O122" s="209">
        <f t="shared" si="74"/>
        <v>0</v>
      </c>
      <c r="P122" s="206">
        <f t="shared" si="74"/>
        <v>0</v>
      </c>
      <c r="Q122" s="336"/>
      <c r="R122" s="337"/>
    </row>
    <row r="123" spans="2:18" s="1" customFormat="1" x14ac:dyDescent="0.25">
      <c r="B123" s="259" t="s">
        <v>436</v>
      </c>
      <c r="C123" s="260" t="s">
        <v>372</v>
      </c>
      <c r="D123" s="335">
        <v>0</v>
      </c>
      <c r="E123" s="209">
        <f>IFERROR($D$123*E174/100, 0)</f>
        <v>0</v>
      </c>
      <c r="F123" s="206">
        <f t="shared" si="56"/>
        <v>0</v>
      </c>
      <c r="G123" s="210">
        <f>IFERROR($D$123*G174/100, 0)</f>
        <v>0</v>
      </c>
      <c r="H123" s="211">
        <f>IFERROR($D$123*H174/100, 0)</f>
        <v>0</v>
      </c>
      <c r="I123" s="212">
        <f>IFERROR($D$123*I174/100, 0)</f>
        <v>0</v>
      </c>
      <c r="J123" s="206">
        <f t="shared" si="72"/>
        <v>0</v>
      </c>
      <c r="K123" s="210">
        <f t="shared" ref="K123:P123" si="75">IFERROR($D$123*K174/100, 0)</f>
        <v>0</v>
      </c>
      <c r="L123" s="211">
        <f t="shared" si="75"/>
        <v>0</v>
      </c>
      <c r="M123" s="211">
        <f t="shared" si="75"/>
        <v>0</v>
      </c>
      <c r="N123" s="208">
        <f t="shared" si="75"/>
        <v>0</v>
      </c>
      <c r="O123" s="209">
        <f t="shared" si="75"/>
        <v>0</v>
      </c>
      <c r="P123" s="206">
        <f t="shared" si="75"/>
        <v>0</v>
      </c>
      <c r="Q123" s="336"/>
      <c r="R123" s="337"/>
    </row>
    <row r="124" spans="2:18" s="1" customFormat="1" x14ac:dyDescent="0.25">
      <c r="B124" s="259" t="s">
        <v>437</v>
      </c>
      <c r="C124" s="260" t="s">
        <v>374</v>
      </c>
      <c r="D124" s="343">
        <v>0</v>
      </c>
      <c r="E124" s="209">
        <f>IFERROR($D$124*E175/100, 0)</f>
        <v>0</v>
      </c>
      <c r="F124" s="206">
        <f t="shared" si="56"/>
        <v>0</v>
      </c>
      <c r="G124" s="210">
        <f>IFERROR($D$124*G175/100, 0)</f>
        <v>0</v>
      </c>
      <c r="H124" s="211">
        <f>IFERROR($D$124*H175/100, 0)</f>
        <v>0</v>
      </c>
      <c r="I124" s="212">
        <f>IFERROR($D$124*I175/100, 0)</f>
        <v>0</v>
      </c>
      <c r="J124" s="206">
        <f t="shared" si="72"/>
        <v>0</v>
      </c>
      <c r="K124" s="210">
        <f t="shared" ref="K124:P124" si="76">IFERROR($D$124*K175/100, 0)</f>
        <v>0</v>
      </c>
      <c r="L124" s="211">
        <f t="shared" si="76"/>
        <v>0</v>
      </c>
      <c r="M124" s="211">
        <f t="shared" si="76"/>
        <v>0</v>
      </c>
      <c r="N124" s="208">
        <f t="shared" si="76"/>
        <v>0</v>
      </c>
      <c r="O124" s="209">
        <f t="shared" si="76"/>
        <v>0</v>
      </c>
      <c r="P124" s="206">
        <f t="shared" si="76"/>
        <v>0</v>
      </c>
      <c r="Q124" s="336"/>
      <c r="R124" s="337"/>
    </row>
    <row r="125" spans="2:18" s="1" customFormat="1" x14ac:dyDescent="0.25">
      <c r="B125" s="259" t="s">
        <v>438</v>
      </c>
      <c r="C125" s="260" t="s">
        <v>376</v>
      </c>
      <c r="D125" s="335">
        <v>0</v>
      </c>
      <c r="E125" s="209">
        <f>IFERROR($D$125*E176/100, 0)</f>
        <v>0</v>
      </c>
      <c r="F125" s="206">
        <f t="shared" si="56"/>
        <v>0</v>
      </c>
      <c r="G125" s="210">
        <f>IFERROR($D$125*G176/100, 0)</f>
        <v>0</v>
      </c>
      <c r="H125" s="211">
        <f>IFERROR($D$125*H176/100, 0)</f>
        <v>0</v>
      </c>
      <c r="I125" s="212">
        <f>IFERROR($D$125*I176/100, 0)</f>
        <v>0</v>
      </c>
      <c r="J125" s="206">
        <f t="shared" si="72"/>
        <v>0</v>
      </c>
      <c r="K125" s="210">
        <f t="shared" ref="K125:P125" si="77">IFERROR($D$125*K176/100, 0)</f>
        <v>0</v>
      </c>
      <c r="L125" s="211">
        <f t="shared" si="77"/>
        <v>0</v>
      </c>
      <c r="M125" s="211">
        <f t="shared" si="77"/>
        <v>0</v>
      </c>
      <c r="N125" s="208">
        <f t="shared" si="77"/>
        <v>0</v>
      </c>
      <c r="O125" s="209">
        <f t="shared" si="77"/>
        <v>0</v>
      </c>
      <c r="P125" s="206">
        <f t="shared" si="77"/>
        <v>0</v>
      </c>
      <c r="Q125" s="336"/>
      <c r="R125" s="337"/>
    </row>
    <row r="126" spans="2:18" s="1" customFormat="1" x14ac:dyDescent="0.25">
      <c r="B126" s="259" t="s">
        <v>439</v>
      </c>
      <c r="C126" s="260" t="s">
        <v>378</v>
      </c>
      <c r="D126" s="335">
        <v>0</v>
      </c>
      <c r="E126" s="209">
        <f>IFERROR($D$126*E177/100, 0)</f>
        <v>0</v>
      </c>
      <c r="F126" s="206">
        <f t="shared" si="56"/>
        <v>0</v>
      </c>
      <c r="G126" s="210">
        <f>IFERROR($D$126*G177/100, 0)</f>
        <v>0</v>
      </c>
      <c r="H126" s="211">
        <f>IFERROR($D$126*H177/100, 0)</f>
        <v>0</v>
      </c>
      <c r="I126" s="212">
        <f>IFERROR($D$126*I177/100, 0)</f>
        <v>0</v>
      </c>
      <c r="J126" s="206">
        <f t="shared" si="72"/>
        <v>0</v>
      </c>
      <c r="K126" s="210">
        <f t="shared" ref="K126:P126" si="78">IFERROR($D$126*K177/100, 0)</f>
        <v>0</v>
      </c>
      <c r="L126" s="211">
        <f t="shared" si="78"/>
        <v>0</v>
      </c>
      <c r="M126" s="211">
        <f t="shared" si="78"/>
        <v>0</v>
      </c>
      <c r="N126" s="208">
        <f t="shared" si="78"/>
        <v>0</v>
      </c>
      <c r="O126" s="209">
        <f t="shared" si="78"/>
        <v>0</v>
      </c>
      <c r="P126" s="206">
        <f t="shared" si="78"/>
        <v>0</v>
      </c>
      <c r="Q126" s="336"/>
      <c r="R126" s="337"/>
    </row>
    <row r="127" spans="2:18" s="1" customFormat="1" x14ac:dyDescent="0.25">
      <c r="B127" s="259" t="s">
        <v>440</v>
      </c>
      <c r="C127" s="260" t="s">
        <v>380</v>
      </c>
      <c r="D127" s="335">
        <v>0</v>
      </c>
      <c r="E127" s="209">
        <f>IFERROR($D$127*E178/100, 0)</f>
        <v>0</v>
      </c>
      <c r="F127" s="206">
        <f t="shared" si="56"/>
        <v>0</v>
      </c>
      <c r="G127" s="210">
        <f>IFERROR($D$127*G178/100, 0)</f>
        <v>0</v>
      </c>
      <c r="H127" s="211">
        <f>IFERROR($D$127*H178/100, 0)</f>
        <v>0</v>
      </c>
      <c r="I127" s="212">
        <f>IFERROR($D$127*I178/100, 0)</f>
        <v>0</v>
      </c>
      <c r="J127" s="206">
        <f t="shared" si="72"/>
        <v>0</v>
      </c>
      <c r="K127" s="210">
        <f t="shared" ref="K127:P127" si="79">IFERROR($D$127*K178/100, 0)</f>
        <v>0</v>
      </c>
      <c r="L127" s="211">
        <f t="shared" si="79"/>
        <v>0</v>
      </c>
      <c r="M127" s="211">
        <f t="shared" si="79"/>
        <v>0</v>
      </c>
      <c r="N127" s="208">
        <f t="shared" si="79"/>
        <v>0</v>
      </c>
      <c r="O127" s="209">
        <f t="shared" si="79"/>
        <v>0</v>
      </c>
      <c r="P127" s="206">
        <f t="shared" si="79"/>
        <v>0</v>
      </c>
      <c r="Q127" s="336"/>
      <c r="R127" s="337"/>
    </row>
    <row r="128" spans="2:18" s="1" customFormat="1" x14ac:dyDescent="0.25">
      <c r="B128" s="259" t="s">
        <v>441</v>
      </c>
      <c r="C128" s="260" t="s">
        <v>382</v>
      </c>
      <c r="D128" s="335">
        <v>0</v>
      </c>
      <c r="E128" s="209">
        <f>IFERROR($D$128*E179/100, 0)</f>
        <v>0</v>
      </c>
      <c r="F128" s="206">
        <f t="shared" si="56"/>
        <v>0</v>
      </c>
      <c r="G128" s="210">
        <f>IFERROR($D$128*G179/100, 0)</f>
        <v>0</v>
      </c>
      <c r="H128" s="211">
        <f>IFERROR($D$128*H179/100, 0)</f>
        <v>0</v>
      </c>
      <c r="I128" s="212">
        <f>IFERROR($D$128*I179/100, 0)</f>
        <v>0</v>
      </c>
      <c r="J128" s="206">
        <f t="shared" si="72"/>
        <v>0</v>
      </c>
      <c r="K128" s="210">
        <f t="shared" ref="K128:P128" si="80">IFERROR($D$128*K179/100, 0)</f>
        <v>0</v>
      </c>
      <c r="L128" s="211">
        <f t="shared" si="80"/>
        <v>0</v>
      </c>
      <c r="M128" s="211">
        <f t="shared" si="80"/>
        <v>0</v>
      </c>
      <c r="N128" s="208">
        <f t="shared" si="80"/>
        <v>0</v>
      </c>
      <c r="O128" s="209">
        <f t="shared" si="80"/>
        <v>0</v>
      </c>
      <c r="P128" s="206">
        <f t="shared" si="80"/>
        <v>0</v>
      </c>
      <c r="Q128" s="336"/>
      <c r="R128" s="337"/>
    </row>
    <row r="129" spans="2:18" s="1" customFormat="1" x14ac:dyDescent="0.25">
      <c r="B129" s="259" t="s">
        <v>442</v>
      </c>
      <c r="C129" s="260" t="s">
        <v>384</v>
      </c>
      <c r="D129" s="335">
        <v>0</v>
      </c>
      <c r="E129" s="209">
        <f>IFERROR($D$129*E180/100, 0)</f>
        <v>0</v>
      </c>
      <c r="F129" s="206">
        <f t="shared" si="56"/>
        <v>0</v>
      </c>
      <c r="G129" s="210">
        <f>IFERROR($D$129*G180/100, 0)</f>
        <v>0</v>
      </c>
      <c r="H129" s="211">
        <f>IFERROR($D$129*H180/100, 0)</f>
        <v>0</v>
      </c>
      <c r="I129" s="212">
        <f>IFERROR($D$129*I180/100, 0)</f>
        <v>0</v>
      </c>
      <c r="J129" s="206">
        <f t="shared" si="72"/>
        <v>0</v>
      </c>
      <c r="K129" s="210">
        <f t="shared" ref="K129:P129" si="81">IFERROR($D$129*K180/100, 0)</f>
        <v>0</v>
      </c>
      <c r="L129" s="211">
        <f t="shared" si="81"/>
        <v>0</v>
      </c>
      <c r="M129" s="211">
        <f t="shared" si="81"/>
        <v>0</v>
      </c>
      <c r="N129" s="208">
        <f t="shared" si="81"/>
        <v>0</v>
      </c>
      <c r="O129" s="209">
        <f t="shared" si="81"/>
        <v>0</v>
      </c>
      <c r="P129" s="206">
        <f t="shared" si="81"/>
        <v>0</v>
      </c>
      <c r="Q129" s="336"/>
      <c r="R129" s="337"/>
    </row>
    <row r="130" spans="2:18" s="1" customFormat="1" x14ac:dyDescent="0.25">
      <c r="B130" s="259" t="s">
        <v>443</v>
      </c>
      <c r="C130" s="260" t="s">
        <v>386</v>
      </c>
      <c r="D130" s="335">
        <v>0</v>
      </c>
      <c r="E130" s="209">
        <f>IFERROR($D$130*E181/100, 0)</f>
        <v>0</v>
      </c>
      <c r="F130" s="206">
        <f t="shared" si="56"/>
        <v>0</v>
      </c>
      <c r="G130" s="210">
        <f>IFERROR($D$130*G181/100, 0)</f>
        <v>0</v>
      </c>
      <c r="H130" s="211">
        <f>IFERROR($D$130*H181/100, 0)</f>
        <v>0</v>
      </c>
      <c r="I130" s="212">
        <f>IFERROR($D$130*I181/100, 0)</f>
        <v>0</v>
      </c>
      <c r="J130" s="206">
        <f t="shared" si="72"/>
        <v>0</v>
      </c>
      <c r="K130" s="210">
        <f t="shared" ref="K130:P130" si="82">IFERROR($D$130*K181/100, 0)</f>
        <v>0</v>
      </c>
      <c r="L130" s="211">
        <f t="shared" si="82"/>
        <v>0</v>
      </c>
      <c r="M130" s="211">
        <f t="shared" si="82"/>
        <v>0</v>
      </c>
      <c r="N130" s="208">
        <f t="shared" si="82"/>
        <v>0</v>
      </c>
      <c r="O130" s="209">
        <f t="shared" si="82"/>
        <v>0</v>
      </c>
      <c r="P130" s="206">
        <f t="shared" si="82"/>
        <v>0</v>
      </c>
      <c r="Q130" s="336"/>
      <c r="R130" s="337"/>
    </row>
    <row r="131" spans="2:18" s="1" customFormat="1" x14ac:dyDescent="0.25">
      <c r="B131" s="259" t="s">
        <v>444</v>
      </c>
      <c r="C131" s="260" t="s">
        <v>388</v>
      </c>
      <c r="D131" s="335">
        <v>0</v>
      </c>
      <c r="E131" s="209">
        <f>IFERROR($D$131*E182/100, 0)</f>
        <v>0</v>
      </c>
      <c r="F131" s="206">
        <f t="shared" si="56"/>
        <v>0</v>
      </c>
      <c r="G131" s="210">
        <f>IFERROR($D$131*G182/100, 0)</f>
        <v>0</v>
      </c>
      <c r="H131" s="211">
        <f>IFERROR($D$131*H182/100, 0)</f>
        <v>0</v>
      </c>
      <c r="I131" s="212">
        <f>IFERROR($D$131*I182/100, 0)</f>
        <v>0</v>
      </c>
      <c r="J131" s="206">
        <f t="shared" si="72"/>
        <v>0</v>
      </c>
      <c r="K131" s="210">
        <f t="shared" ref="K131:P131" si="83">IFERROR($D$131*K182/100, 0)</f>
        <v>0</v>
      </c>
      <c r="L131" s="211">
        <f t="shared" si="83"/>
        <v>0</v>
      </c>
      <c r="M131" s="211">
        <f t="shared" si="83"/>
        <v>0</v>
      </c>
      <c r="N131" s="208">
        <f t="shared" si="83"/>
        <v>0</v>
      </c>
      <c r="O131" s="209">
        <f t="shared" si="83"/>
        <v>0</v>
      </c>
      <c r="P131" s="206">
        <f t="shared" si="83"/>
        <v>0</v>
      </c>
      <c r="Q131" s="336"/>
      <c r="R131" s="337"/>
    </row>
    <row r="132" spans="2:18" s="1" customFormat="1" ht="15.75" thickBot="1" x14ac:dyDescent="0.3">
      <c r="B132" s="282" t="s">
        <v>445</v>
      </c>
      <c r="C132" s="283" t="s">
        <v>390</v>
      </c>
      <c r="D132" s="345">
        <v>0</v>
      </c>
      <c r="E132" s="346">
        <f>IFERROR($D$132*E183/100, 0)</f>
        <v>0</v>
      </c>
      <c r="F132" s="347">
        <f t="shared" si="56"/>
        <v>0</v>
      </c>
      <c r="G132" s="348">
        <f>IFERROR($D$132*G183/100, 0)</f>
        <v>0</v>
      </c>
      <c r="H132" s="349">
        <f>IFERROR($D$132*H183/100, 0)</f>
        <v>0</v>
      </c>
      <c r="I132" s="350">
        <f>IFERROR($D$132*I183/100, 0)</f>
        <v>0</v>
      </c>
      <c r="J132" s="347">
        <f t="shared" si="72"/>
        <v>0</v>
      </c>
      <c r="K132" s="348">
        <f t="shared" ref="K132:P132" si="84">IFERROR($D$132*K183/100, 0)</f>
        <v>0</v>
      </c>
      <c r="L132" s="349">
        <f t="shared" si="84"/>
        <v>0</v>
      </c>
      <c r="M132" s="349">
        <f t="shared" si="84"/>
        <v>0</v>
      </c>
      <c r="N132" s="351">
        <f t="shared" si="84"/>
        <v>0</v>
      </c>
      <c r="O132" s="346">
        <f t="shared" si="84"/>
        <v>0</v>
      </c>
      <c r="P132" s="347">
        <f t="shared" si="84"/>
        <v>0</v>
      </c>
      <c r="Q132" s="336"/>
      <c r="R132" s="337"/>
    </row>
    <row r="133" spans="2:18" s="1" customFormat="1" ht="15.75" thickBot="1" x14ac:dyDescent="0.3">
      <c r="B133" s="293" t="s">
        <v>446</v>
      </c>
      <c r="C133" s="294" t="s">
        <v>392</v>
      </c>
      <c r="D133" s="352">
        <v>0</v>
      </c>
      <c r="E133" s="353">
        <f>IFERROR($D$133*E184/100, 0)</f>
        <v>0</v>
      </c>
      <c r="F133" s="297">
        <f t="shared" si="56"/>
        <v>0</v>
      </c>
      <c r="G133" s="354">
        <f>IFERROR($D$133*G184/100, 0)</f>
        <v>0</v>
      </c>
      <c r="H133" s="355">
        <f>IFERROR($D$133*H184/100, 0)</f>
        <v>0</v>
      </c>
      <c r="I133" s="356">
        <f>IFERROR($D$133*I184/100, 0)</f>
        <v>0</v>
      </c>
      <c r="J133" s="297">
        <f t="shared" si="72"/>
        <v>0</v>
      </c>
      <c r="K133" s="354">
        <f t="shared" ref="K133:P133" si="85">IFERROR($D$133*K184/100, 0)</f>
        <v>0</v>
      </c>
      <c r="L133" s="355">
        <f t="shared" si="85"/>
        <v>0</v>
      </c>
      <c r="M133" s="355">
        <f t="shared" si="85"/>
        <v>0</v>
      </c>
      <c r="N133" s="295">
        <f t="shared" si="85"/>
        <v>0</v>
      </c>
      <c r="O133" s="353">
        <f t="shared" si="85"/>
        <v>0</v>
      </c>
      <c r="P133" s="297">
        <f t="shared" si="85"/>
        <v>0</v>
      </c>
      <c r="Q133" s="325"/>
      <c r="R133" s="326"/>
    </row>
    <row r="134" spans="2:18" s="1" customFormat="1" x14ac:dyDescent="0.25">
      <c r="B134" s="150" t="s">
        <v>447</v>
      </c>
      <c r="C134" s="204" t="s">
        <v>394</v>
      </c>
      <c r="D134" s="338">
        <f>SUM(D135:D140)</f>
        <v>0</v>
      </c>
      <c r="E134" s="153">
        <f>SUM(E135:E140)</f>
        <v>0</v>
      </c>
      <c r="F134" s="154">
        <f t="shared" si="56"/>
        <v>0</v>
      </c>
      <c r="G134" s="155">
        <f>SUM(G135:G140)</f>
        <v>0</v>
      </c>
      <c r="H134" s="156">
        <f>SUM(H135:H140)</f>
        <v>0</v>
      </c>
      <c r="I134" s="157">
        <f>SUM(I135:I140)</f>
        <v>0</v>
      </c>
      <c r="J134" s="154">
        <f t="shared" si="72"/>
        <v>0</v>
      </c>
      <c r="K134" s="155">
        <f t="shared" ref="K134:P134" si="86">SUM(K135:K140)</f>
        <v>0</v>
      </c>
      <c r="L134" s="156">
        <f t="shared" si="86"/>
        <v>0</v>
      </c>
      <c r="M134" s="156">
        <f t="shared" si="86"/>
        <v>0</v>
      </c>
      <c r="N134" s="152">
        <f t="shared" si="86"/>
        <v>0</v>
      </c>
      <c r="O134" s="153">
        <f t="shared" si="86"/>
        <v>0</v>
      </c>
      <c r="P134" s="154">
        <f t="shared" si="86"/>
        <v>0</v>
      </c>
      <c r="Q134" s="325"/>
      <c r="R134" s="326"/>
    </row>
    <row r="135" spans="2:18" s="1" customFormat="1" x14ac:dyDescent="0.25">
      <c r="B135" s="167" t="s">
        <v>448</v>
      </c>
      <c r="C135" s="357" t="s">
        <v>396</v>
      </c>
      <c r="D135" s="358">
        <v>0</v>
      </c>
      <c r="E135" s="359">
        <f>IFERROR($D$135*E185/100, 0)</f>
        <v>0</v>
      </c>
      <c r="F135" s="308">
        <f t="shared" si="56"/>
        <v>0</v>
      </c>
      <c r="G135" s="360">
        <f>IFERROR($D$135*G185/100, 0)</f>
        <v>0</v>
      </c>
      <c r="H135" s="361">
        <f>IFERROR($D$135*H185/100, 0)</f>
        <v>0</v>
      </c>
      <c r="I135" s="362">
        <f>IFERROR($D$135*I185/100, 0)</f>
        <v>0</v>
      </c>
      <c r="J135" s="308">
        <f t="shared" si="72"/>
        <v>0</v>
      </c>
      <c r="K135" s="360">
        <f t="shared" ref="K135:P135" si="87">IFERROR($D$135*K185/100, 0)</f>
        <v>0</v>
      </c>
      <c r="L135" s="361">
        <f t="shared" si="87"/>
        <v>0</v>
      </c>
      <c r="M135" s="361">
        <f t="shared" si="87"/>
        <v>0</v>
      </c>
      <c r="N135" s="306">
        <f t="shared" si="87"/>
        <v>0</v>
      </c>
      <c r="O135" s="359">
        <f t="shared" si="87"/>
        <v>0</v>
      </c>
      <c r="P135" s="308">
        <f t="shared" si="87"/>
        <v>0</v>
      </c>
      <c r="Q135" s="336"/>
      <c r="R135" s="337"/>
    </row>
    <row r="136" spans="2:18" s="1" customFormat="1" x14ac:dyDescent="0.25">
      <c r="B136" s="167" t="s">
        <v>449</v>
      </c>
      <c r="C136" s="357" t="s">
        <v>450</v>
      </c>
      <c r="D136" s="358">
        <v>0</v>
      </c>
      <c r="E136" s="359">
        <f>IFERROR($D$136*E185/100, 0)</f>
        <v>0</v>
      </c>
      <c r="F136" s="308">
        <f t="shared" si="56"/>
        <v>0</v>
      </c>
      <c r="G136" s="360">
        <f>IFERROR($D$136*G185/100, 0)</f>
        <v>0</v>
      </c>
      <c r="H136" s="361">
        <f>IFERROR($D$136*H185/100, 0)</f>
        <v>0</v>
      </c>
      <c r="I136" s="362">
        <f>IFERROR($D$136*I185/100, 0)</f>
        <v>0</v>
      </c>
      <c r="J136" s="308">
        <f t="shared" si="72"/>
        <v>0</v>
      </c>
      <c r="K136" s="360">
        <f t="shared" ref="K136:P136" si="88">IFERROR($D$136*K185/100, 0)</f>
        <v>0</v>
      </c>
      <c r="L136" s="361">
        <f t="shared" si="88"/>
        <v>0</v>
      </c>
      <c r="M136" s="361">
        <f t="shared" si="88"/>
        <v>0</v>
      </c>
      <c r="N136" s="306">
        <f t="shared" si="88"/>
        <v>0</v>
      </c>
      <c r="O136" s="359">
        <f t="shared" si="88"/>
        <v>0</v>
      </c>
      <c r="P136" s="308">
        <f t="shared" si="88"/>
        <v>0</v>
      </c>
      <c r="Q136" s="336"/>
      <c r="R136" s="337"/>
    </row>
    <row r="137" spans="2:18" s="1" customFormat="1" x14ac:dyDescent="0.25">
      <c r="B137" s="259" t="s">
        <v>451</v>
      </c>
      <c r="C137" s="260" t="s">
        <v>400</v>
      </c>
      <c r="D137" s="335">
        <v>0</v>
      </c>
      <c r="E137" s="209">
        <f>IFERROR($D$137*E185/100, 0)</f>
        <v>0</v>
      </c>
      <c r="F137" s="206">
        <f t="shared" si="56"/>
        <v>0</v>
      </c>
      <c r="G137" s="210">
        <f>IFERROR($D$137*G185/100, 0)</f>
        <v>0</v>
      </c>
      <c r="H137" s="211">
        <f>IFERROR($D$137*H185/100, 0)</f>
        <v>0</v>
      </c>
      <c r="I137" s="212">
        <f>IFERROR($D$137*I185/100, 0)</f>
        <v>0</v>
      </c>
      <c r="J137" s="206">
        <f t="shared" si="72"/>
        <v>0</v>
      </c>
      <c r="K137" s="210">
        <f t="shared" ref="K137:P137" si="89">IFERROR($D$137*K185/100, 0)</f>
        <v>0</v>
      </c>
      <c r="L137" s="211">
        <f t="shared" si="89"/>
        <v>0</v>
      </c>
      <c r="M137" s="211">
        <f t="shared" si="89"/>
        <v>0</v>
      </c>
      <c r="N137" s="208">
        <f t="shared" si="89"/>
        <v>0</v>
      </c>
      <c r="O137" s="209">
        <f t="shared" si="89"/>
        <v>0</v>
      </c>
      <c r="P137" s="206">
        <f t="shared" si="89"/>
        <v>0</v>
      </c>
      <c r="Q137" s="336"/>
      <c r="R137" s="337"/>
    </row>
    <row r="138" spans="2:18" s="1" customFormat="1" x14ac:dyDescent="0.25">
      <c r="B138" s="262" t="s">
        <v>452</v>
      </c>
      <c r="C138" s="250" t="s">
        <v>453</v>
      </c>
      <c r="D138" s="342">
        <v>0</v>
      </c>
      <c r="E138" s="215">
        <f>IFERROR($D$138*E185/100, 0)</f>
        <v>0</v>
      </c>
      <c r="F138" s="216">
        <f t="shared" si="56"/>
        <v>0</v>
      </c>
      <c r="G138" s="217">
        <f>IFERROR($D$138*G185/100, 0)</f>
        <v>0</v>
      </c>
      <c r="H138" s="218">
        <f>IFERROR($D$138*H185/100, 0)</f>
        <v>0</v>
      </c>
      <c r="I138" s="219">
        <f>IFERROR($D$138*I185/100, 0)</f>
        <v>0</v>
      </c>
      <c r="J138" s="216">
        <f t="shared" si="72"/>
        <v>0</v>
      </c>
      <c r="K138" s="217">
        <f t="shared" ref="K138:P138" si="90">IFERROR($D$138*K185/100, 0)</f>
        <v>0</v>
      </c>
      <c r="L138" s="218">
        <f t="shared" si="90"/>
        <v>0</v>
      </c>
      <c r="M138" s="218">
        <f t="shared" si="90"/>
        <v>0</v>
      </c>
      <c r="N138" s="214">
        <f t="shared" si="90"/>
        <v>0</v>
      </c>
      <c r="O138" s="215">
        <f t="shared" si="90"/>
        <v>0</v>
      </c>
      <c r="P138" s="216">
        <f t="shared" si="90"/>
        <v>0</v>
      </c>
      <c r="Q138" s="336"/>
      <c r="R138" s="337"/>
    </row>
    <row r="139" spans="2:18" s="1" customFormat="1" x14ac:dyDescent="0.25">
      <c r="B139" s="262" t="s">
        <v>454</v>
      </c>
      <c r="C139" s="363" t="s">
        <v>404</v>
      </c>
      <c r="D139" s="342">
        <v>0</v>
      </c>
      <c r="E139" s="215">
        <f>IFERROR($D$139*E185/100, 0)</f>
        <v>0</v>
      </c>
      <c r="F139" s="216">
        <f t="shared" si="56"/>
        <v>0</v>
      </c>
      <c r="G139" s="217">
        <f>IFERROR($D$139*G185/100, 0)</f>
        <v>0</v>
      </c>
      <c r="H139" s="218">
        <f>IFERROR($D$139*H185/100, 0)</f>
        <v>0</v>
      </c>
      <c r="I139" s="219">
        <f>IFERROR($D$139*I185/100, 0)</f>
        <v>0</v>
      </c>
      <c r="J139" s="216">
        <f t="shared" si="72"/>
        <v>0</v>
      </c>
      <c r="K139" s="217">
        <f t="shared" ref="K139:P139" si="91">IFERROR($D$139*K185/100, 0)</f>
        <v>0</v>
      </c>
      <c r="L139" s="218">
        <f t="shared" si="91"/>
        <v>0</v>
      </c>
      <c r="M139" s="218">
        <f t="shared" si="91"/>
        <v>0</v>
      </c>
      <c r="N139" s="214">
        <f t="shared" si="91"/>
        <v>0</v>
      </c>
      <c r="O139" s="215">
        <f t="shared" si="91"/>
        <v>0</v>
      </c>
      <c r="P139" s="216">
        <f t="shared" si="91"/>
        <v>0</v>
      </c>
      <c r="Q139" s="336"/>
      <c r="R139" s="337"/>
    </row>
    <row r="140" spans="2:18" s="1" customFormat="1" ht="15.75" thickBot="1" x14ac:dyDescent="0.3">
      <c r="B140" s="262" t="s">
        <v>455</v>
      </c>
      <c r="C140" s="363" t="s">
        <v>408</v>
      </c>
      <c r="D140" s="342">
        <v>0</v>
      </c>
      <c r="E140" s="215">
        <f>IFERROR($D$140*E185/100, 0)</f>
        <v>0</v>
      </c>
      <c r="F140" s="216">
        <f t="shared" si="56"/>
        <v>0</v>
      </c>
      <c r="G140" s="217">
        <f>IFERROR($D$140*G185/100, 0)</f>
        <v>0</v>
      </c>
      <c r="H140" s="218">
        <f>IFERROR($D$140*H185/100, 0)</f>
        <v>0</v>
      </c>
      <c r="I140" s="219">
        <f>IFERROR($D$140*I185/100, 0)</f>
        <v>0</v>
      </c>
      <c r="J140" s="216">
        <f t="shared" si="72"/>
        <v>0</v>
      </c>
      <c r="K140" s="217">
        <f t="shared" ref="K140:P140" si="92">IFERROR($D$140*K185/100, 0)</f>
        <v>0</v>
      </c>
      <c r="L140" s="218">
        <f t="shared" si="92"/>
        <v>0</v>
      </c>
      <c r="M140" s="218">
        <f t="shared" si="92"/>
        <v>0</v>
      </c>
      <c r="N140" s="214">
        <f t="shared" si="92"/>
        <v>0</v>
      </c>
      <c r="O140" s="215">
        <f t="shared" si="92"/>
        <v>0</v>
      </c>
      <c r="P140" s="216">
        <f t="shared" si="92"/>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0</v>
      </c>
      <c r="E143" s="370">
        <v>0</v>
      </c>
      <c r="F143" s="371">
        <f>SUM(G143:I143)</f>
        <v>0</v>
      </c>
      <c r="G143" s="370">
        <v>0</v>
      </c>
      <c r="H143" s="370">
        <v>0</v>
      </c>
      <c r="I143" s="370">
        <v>0</v>
      </c>
      <c r="J143" s="371">
        <f>SUM(K143:M143)</f>
        <v>0</v>
      </c>
      <c r="K143" s="370">
        <v>0</v>
      </c>
      <c r="L143" s="370">
        <v>0</v>
      </c>
      <c r="M143" s="370">
        <v>0</v>
      </c>
      <c r="N143" s="370">
        <v>0</v>
      </c>
      <c r="O143" s="370">
        <v>0</v>
      </c>
      <c r="P143" s="370">
        <v>0</v>
      </c>
    </row>
    <row r="144" spans="2:18" s="1" customFormat="1" ht="15.75" thickBot="1" x14ac:dyDescent="0.3">
      <c r="B144" s="372">
        <v>2</v>
      </c>
      <c r="C144" s="168" t="s">
        <v>306</v>
      </c>
      <c r="D144" s="373">
        <f>E144+F144+J144+N144+O144+P144</f>
        <v>0</v>
      </c>
      <c r="E144" s="374">
        <v>0</v>
      </c>
      <c r="F144" s="375">
        <f>SUM(G144:I144)</f>
        <v>0</v>
      </c>
      <c r="G144" s="374">
        <v>0</v>
      </c>
      <c r="H144" s="374">
        <v>0</v>
      </c>
      <c r="I144" s="374">
        <v>0</v>
      </c>
      <c r="J144" s="375">
        <f>SUM(K144:M144)</f>
        <v>0</v>
      </c>
      <c r="K144" s="374">
        <v>0</v>
      </c>
      <c r="L144" s="374">
        <v>0</v>
      </c>
      <c r="M144" s="374">
        <v>0</v>
      </c>
      <c r="N144" s="374">
        <v>0</v>
      </c>
      <c r="O144" s="374">
        <v>0</v>
      </c>
      <c r="P144" s="374">
        <v>0</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0</v>
      </c>
      <c r="E146" s="370">
        <v>0</v>
      </c>
      <c r="F146" s="371">
        <f>SUM(G146:I146)</f>
        <v>0</v>
      </c>
      <c r="G146" s="370">
        <v>0</v>
      </c>
      <c r="H146" s="370">
        <v>0</v>
      </c>
      <c r="I146" s="370">
        <v>0</v>
      </c>
      <c r="J146" s="371">
        <f>SUM(K146:M146)</f>
        <v>0</v>
      </c>
      <c r="K146" s="370">
        <v>0</v>
      </c>
      <c r="L146" s="370">
        <v>0</v>
      </c>
      <c r="M146" s="370">
        <v>0</v>
      </c>
      <c r="N146" s="370">
        <v>0</v>
      </c>
      <c r="O146" s="370">
        <v>0</v>
      </c>
      <c r="P146" s="370">
        <v>0</v>
      </c>
    </row>
    <row r="147" spans="2:16" s="1" customFormat="1" ht="15.75" thickBot="1" x14ac:dyDescent="0.3">
      <c r="B147" s="382">
        <v>2</v>
      </c>
      <c r="C147" s="383" t="s">
        <v>317</v>
      </c>
      <c r="D147" s="373">
        <f>E147+F147+J147+N147+O147+P147</f>
        <v>0</v>
      </c>
      <c r="E147" s="374">
        <v>0</v>
      </c>
      <c r="F147" s="375">
        <f>SUM(G147:I147)</f>
        <v>0</v>
      </c>
      <c r="G147" s="374">
        <v>0</v>
      </c>
      <c r="H147" s="374">
        <v>0</v>
      </c>
      <c r="I147" s="374">
        <v>0</v>
      </c>
      <c r="J147" s="375">
        <f>SUM(K147:M147)</f>
        <v>0</v>
      </c>
      <c r="K147" s="374">
        <v>0</v>
      </c>
      <c r="L147" s="374">
        <v>0</v>
      </c>
      <c r="M147" s="374">
        <v>0</v>
      </c>
      <c r="N147" s="374">
        <v>0</v>
      </c>
      <c r="O147" s="374">
        <v>0</v>
      </c>
      <c r="P147" s="374">
        <v>0</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0</v>
      </c>
      <c r="E149" s="374">
        <v>0</v>
      </c>
      <c r="F149" s="375">
        <f>SUM(G149:I149)</f>
        <v>0</v>
      </c>
      <c r="G149" s="374">
        <v>0</v>
      </c>
      <c r="H149" s="374">
        <v>0</v>
      </c>
      <c r="I149" s="374">
        <v>0</v>
      </c>
      <c r="J149" s="375">
        <f>SUM(K149:M149)</f>
        <v>0</v>
      </c>
      <c r="K149" s="374">
        <v>0</v>
      </c>
      <c r="L149" s="374">
        <v>0</v>
      </c>
      <c r="M149" s="374">
        <v>0</v>
      </c>
      <c r="N149" s="374">
        <v>0</v>
      </c>
      <c r="O149" s="374">
        <v>0</v>
      </c>
      <c r="P149" s="374">
        <v>0</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3">E151+F151+J151+N151+O151+P151</f>
        <v>0</v>
      </c>
      <c r="E151" s="370">
        <v>0</v>
      </c>
      <c r="F151" s="371">
        <f t="shared" ref="F151:F156" si="94">SUM(G151:I151)</f>
        <v>0</v>
      </c>
      <c r="G151" s="370">
        <v>0</v>
      </c>
      <c r="H151" s="370">
        <v>0</v>
      </c>
      <c r="I151" s="370">
        <v>0</v>
      </c>
      <c r="J151" s="371">
        <f t="shared" ref="J151:J156" si="95">SUM(K151:M151)</f>
        <v>0</v>
      </c>
      <c r="K151" s="370">
        <v>0</v>
      </c>
      <c r="L151" s="370">
        <v>0</v>
      </c>
      <c r="M151" s="370">
        <v>0</v>
      </c>
      <c r="N151" s="370">
        <v>0</v>
      </c>
      <c r="O151" s="370">
        <v>0</v>
      </c>
      <c r="P151" s="370">
        <v>0</v>
      </c>
    </row>
    <row r="152" spans="2:16" s="1" customFormat="1" x14ac:dyDescent="0.25">
      <c r="B152" s="380">
        <v>2</v>
      </c>
      <c r="C152" s="381" t="s">
        <v>281</v>
      </c>
      <c r="D152" s="369">
        <f t="shared" si="93"/>
        <v>0</v>
      </c>
      <c r="E152" s="370">
        <v>0</v>
      </c>
      <c r="F152" s="371">
        <f t="shared" si="94"/>
        <v>0</v>
      </c>
      <c r="G152" s="370">
        <v>0</v>
      </c>
      <c r="H152" s="370">
        <v>0</v>
      </c>
      <c r="I152" s="370">
        <v>0</v>
      </c>
      <c r="J152" s="371">
        <f t="shared" si="95"/>
        <v>0</v>
      </c>
      <c r="K152" s="370">
        <v>0</v>
      </c>
      <c r="L152" s="370">
        <v>0</v>
      </c>
      <c r="M152" s="370">
        <v>0</v>
      </c>
      <c r="N152" s="370">
        <v>0</v>
      </c>
      <c r="O152" s="370">
        <v>0</v>
      </c>
      <c r="P152" s="370">
        <v>0</v>
      </c>
    </row>
    <row r="153" spans="2:16" s="1" customFormat="1" x14ac:dyDescent="0.25">
      <c r="B153" s="380">
        <v>3</v>
      </c>
      <c r="C153" s="381" t="s">
        <v>464</v>
      </c>
      <c r="D153" s="369">
        <f t="shared" si="93"/>
        <v>0</v>
      </c>
      <c r="E153" s="370">
        <v>0</v>
      </c>
      <c r="F153" s="371">
        <f t="shared" si="94"/>
        <v>0</v>
      </c>
      <c r="G153" s="370">
        <v>0</v>
      </c>
      <c r="H153" s="370">
        <v>0</v>
      </c>
      <c r="I153" s="370">
        <v>0</v>
      </c>
      <c r="J153" s="371">
        <f t="shared" si="95"/>
        <v>0</v>
      </c>
      <c r="K153" s="370">
        <v>0</v>
      </c>
      <c r="L153" s="370">
        <v>0</v>
      </c>
      <c r="M153" s="370">
        <v>0</v>
      </c>
      <c r="N153" s="370">
        <v>0</v>
      </c>
      <c r="O153" s="370">
        <v>0</v>
      </c>
      <c r="P153" s="370">
        <v>0</v>
      </c>
    </row>
    <row r="154" spans="2:16" s="1" customFormat="1" x14ac:dyDescent="0.25">
      <c r="B154" s="380">
        <v>4</v>
      </c>
      <c r="C154" s="381" t="s">
        <v>465</v>
      </c>
      <c r="D154" s="369">
        <f t="shared" si="93"/>
        <v>0</v>
      </c>
      <c r="E154" s="370">
        <v>0</v>
      </c>
      <c r="F154" s="371">
        <f t="shared" si="94"/>
        <v>0</v>
      </c>
      <c r="G154" s="370">
        <v>0</v>
      </c>
      <c r="H154" s="370">
        <v>0</v>
      </c>
      <c r="I154" s="370">
        <v>0</v>
      </c>
      <c r="J154" s="371">
        <f t="shared" si="95"/>
        <v>0</v>
      </c>
      <c r="K154" s="370">
        <v>0</v>
      </c>
      <c r="L154" s="370">
        <v>0</v>
      </c>
      <c r="M154" s="370">
        <v>0</v>
      </c>
      <c r="N154" s="370">
        <v>0</v>
      </c>
      <c r="O154" s="370">
        <v>0</v>
      </c>
      <c r="P154" s="370">
        <v>0</v>
      </c>
    </row>
    <row r="155" spans="2:16" s="1" customFormat="1" ht="30" customHeight="1" thickBot="1" x14ac:dyDescent="0.3">
      <c r="B155" s="382">
        <v>5</v>
      </c>
      <c r="C155" s="383" t="s">
        <v>330</v>
      </c>
      <c r="D155" s="373">
        <f t="shared" si="93"/>
        <v>0</v>
      </c>
      <c r="E155" s="374">
        <v>0</v>
      </c>
      <c r="F155" s="375">
        <f t="shared" si="94"/>
        <v>0</v>
      </c>
      <c r="G155" s="374">
        <v>0</v>
      </c>
      <c r="H155" s="374">
        <v>0</v>
      </c>
      <c r="I155" s="374">
        <v>0</v>
      </c>
      <c r="J155" s="375">
        <f t="shared" si="95"/>
        <v>0</v>
      </c>
      <c r="K155" s="374">
        <v>0</v>
      </c>
      <c r="L155" s="374">
        <v>0</v>
      </c>
      <c r="M155" s="374">
        <v>0</v>
      </c>
      <c r="N155" s="374">
        <v>0</v>
      </c>
      <c r="O155" s="374">
        <v>0</v>
      </c>
      <c r="P155" s="374">
        <v>0</v>
      </c>
    </row>
    <row r="156" spans="2:16" s="1" customFormat="1" ht="15.75" thickBot="1" x14ac:dyDescent="0.3">
      <c r="B156" s="384" t="s">
        <v>75</v>
      </c>
      <c r="C156" s="385" t="s">
        <v>332</v>
      </c>
      <c r="D156" s="386">
        <f t="shared" si="93"/>
        <v>0</v>
      </c>
      <c r="E156" s="387">
        <v>0</v>
      </c>
      <c r="F156" s="388">
        <f t="shared" si="94"/>
        <v>0</v>
      </c>
      <c r="G156" s="387">
        <v>0</v>
      </c>
      <c r="H156" s="387">
        <v>0</v>
      </c>
      <c r="I156" s="387">
        <v>0</v>
      </c>
      <c r="J156" s="388">
        <f t="shared" si="95"/>
        <v>0</v>
      </c>
      <c r="K156" s="387">
        <v>0</v>
      </c>
      <c r="L156" s="387">
        <v>0</v>
      </c>
      <c r="M156" s="387">
        <v>0</v>
      </c>
      <c r="N156" s="387">
        <v>0</v>
      </c>
      <c r="O156" s="387">
        <v>0</v>
      </c>
      <c r="P156" s="387">
        <v>0</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0</v>
      </c>
      <c r="E158" s="370">
        <v>0</v>
      </c>
      <c r="F158" s="371">
        <f>SUM(G158:I158)</f>
        <v>0</v>
      </c>
      <c r="G158" s="370">
        <v>0</v>
      </c>
      <c r="H158" s="370">
        <v>0</v>
      </c>
      <c r="I158" s="370">
        <v>0</v>
      </c>
      <c r="J158" s="371">
        <f>SUM(K158:M158)</f>
        <v>0</v>
      </c>
      <c r="K158" s="370">
        <v>0</v>
      </c>
      <c r="L158" s="370">
        <v>0</v>
      </c>
      <c r="M158" s="370">
        <v>0</v>
      </c>
      <c r="N158" s="370">
        <v>0</v>
      </c>
      <c r="O158" s="370">
        <v>0</v>
      </c>
      <c r="P158" s="370">
        <v>0</v>
      </c>
    </row>
    <row r="159" spans="2:16" s="1" customFormat="1" x14ac:dyDescent="0.25">
      <c r="B159" s="380">
        <v>2</v>
      </c>
      <c r="C159" s="389" t="s">
        <v>338</v>
      </c>
      <c r="D159" s="369">
        <f>E159+F159+J159+N159+O159+P159</f>
        <v>0</v>
      </c>
      <c r="E159" s="370">
        <v>0</v>
      </c>
      <c r="F159" s="371">
        <f>SUM(G159:I159)</f>
        <v>0</v>
      </c>
      <c r="G159" s="370">
        <v>0</v>
      </c>
      <c r="H159" s="370">
        <v>0</v>
      </c>
      <c r="I159" s="370">
        <v>0</v>
      </c>
      <c r="J159" s="371">
        <f>SUM(K159:M159)</f>
        <v>0</v>
      </c>
      <c r="K159" s="370">
        <v>0</v>
      </c>
      <c r="L159" s="370">
        <v>0</v>
      </c>
      <c r="M159" s="370">
        <v>0</v>
      </c>
      <c r="N159" s="370">
        <v>0</v>
      </c>
      <c r="O159" s="370">
        <v>0</v>
      </c>
      <c r="P159" s="370">
        <v>0</v>
      </c>
    </row>
    <row r="160" spans="2:16" s="1" customFormat="1" x14ac:dyDescent="0.25">
      <c r="B160" s="380">
        <v>3</v>
      </c>
      <c r="C160" s="381" t="s">
        <v>468</v>
      </c>
      <c r="D160" s="369">
        <f>E160+F160+J160+N160+O160+P160</f>
        <v>0</v>
      </c>
      <c r="E160" s="370">
        <v>0</v>
      </c>
      <c r="F160" s="371">
        <f>SUM(G160:I160)</f>
        <v>0</v>
      </c>
      <c r="G160" s="370">
        <v>0</v>
      </c>
      <c r="H160" s="370">
        <v>0</v>
      </c>
      <c r="I160" s="370">
        <v>0</v>
      </c>
      <c r="J160" s="371">
        <f>SUM(K160:M160)</f>
        <v>0</v>
      </c>
      <c r="K160" s="370">
        <v>0</v>
      </c>
      <c r="L160" s="370">
        <v>0</v>
      </c>
      <c r="M160" s="370">
        <v>0</v>
      </c>
      <c r="N160" s="370">
        <v>0</v>
      </c>
      <c r="O160" s="370">
        <v>0</v>
      </c>
      <c r="P160" s="370">
        <v>0</v>
      </c>
    </row>
    <row r="161" spans="2:16" s="1" customFormat="1" ht="15.75" thickBot="1" x14ac:dyDescent="0.3">
      <c r="B161" s="382">
        <v>4</v>
      </c>
      <c r="C161" s="383" t="s">
        <v>469</v>
      </c>
      <c r="D161" s="373">
        <f>E161+F161+J161+N161+O161+P161</f>
        <v>0</v>
      </c>
      <c r="E161" s="374">
        <v>0</v>
      </c>
      <c r="F161" s="375">
        <f>SUM(G161:I161)</f>
        <v>0</v>
      </c>
      <c r="G161" s="374">
        <v>0</v>
      </c>
      <c r="H161" s="374">
        <v>0</v>
      </c>
      <c r="I161" s="374">
        <v>0</v>
      </c>
      <c r="J161" s="375">
        <f>SUM(K161:M161)</f>
        <v>0</v>
      </c>
      <c r="K161" s="374">
        <v>0</v>
      </c>
      <c r="L161" s="374">
        <v>0</v>
      </c>
      <c r="M161" s="374">
        <v>0</v>
      </c>
      <c r="N161" s="374">
        <v>0</v>
      </c>
      <c r="O161" s="374">
        <v>0</v>
      </c>
      <c r="P161" s="374">
        <v>0</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0</v>
      </c>
      <c r="E163" s="370">
        <v>0</v>
      </c>
      <c r="F163" s="371">
        <f>SUM(G163:I163)</f>
        <v>0</v>
      </c>
      <c r="G163" s="370">
        <v>0</v>
      </c>
      <c r="H163" s="370">
        <v>0</v>
      </c>
      <c r="I163" s="370">
        <v>0</v>
      </c>
      <c r="J163" s="371">
        <f>SUM(K163:M163)</f>
        <v>0</v>
      </c>
      <c r="K163" s="370">
        <v>0</v>
      </c>
      <c r="L163" s="370">
        <v>0</v>
      </c>
      <c r="M163" s="370">
        <v>0</v>
      </c>
      <c r="N163" s="370">
        <v>0</v>
      </c>
      <c r="O163" s="370">
        <v>0</v>
      </c>
      <c r="P163" s="370">
        <v>0</v>
      </c>
    </row>
    <row r="164" spans="2:16" s="1" customFormat="1" x14ac:dyDescent="0.25">
      <c r="B164" s="382">
        <v>2</v>
      </c>
      <c r="C164" s="383" t="s">
        <v>473</v>
      </c>
      <c r="D164" s="369">
        <f>E164+F164+J164+N164+O164+P164</f>
        <v>0</v>
      </c>
      <c r="E164" s="390">
        <v>0</v>
      </c>
      <c r="F164" s="371">
        <f>SUM(G164:I164)</f>
        <v>0</v>
      </c>
      <c r="G164" s="390">
        <v>0</v>
      </c>
      <c r="H164" s="390">
        <v>0</v>
      </c>
      <c r="I164" s="390">
        <v>0</v>
      </c>
      <c r="J164" s="371">
        <f>SUM(K164:M164)</f>
        <v>0</v>
      </c>
      <c r="K164" s="390">
        <v>0</v>
      </c>
      <c r="L164" s="390">
        <v>0</v>
      </c>
      <c r="M164" s="390">
        <v>0</v>
      </c>
      <c r="N164" s="390">
        <v>0</v>
      </c>
      <c r="O164" s="390">
        <v>0</v>
      </c>
      <c r="P164" s="390">
        <v>0</v>
      </c>
    </row>
    <row r="165" spans="2:16" s="1" customFormat="1" ht="15.75" thickBot="1" x14ac:dyDescent="0.3">
      <c r="B165" s="382">
        <v>3</v>
      </c>
      <c r="C165" s="383" t="s">
        <v>354</v>
      </c>
      <c r="D165" s="373">
        <f>E165+F165+J165+N165+O165+P165</f>
        <v>0</v>
      </c>
      <c r="E165" s="374">
        <v>0</v>
      </c>
      <c r="F165" s="375">
        <f>SUM(G165:I165)</f>
        <v>0</v>
      </c>
      <c r="G165" s="374">
        <v>0</v>
      </c>
      <c r="H165" s="374">
        <v>0</v>
      </c>
      <c r="I165" s="374">
        <v>0</v>
      </c>
      <c r="J165" s="375">
        <f>SUM(K165:M165)</f>
        <v>0</v>
      </c>
      <c r="K165" s="374">
        <v>0</v>
      </c>
      <c r="L165" s="374">
        <v>0</v>
      </c>
      <c r="M165" s="374">
        <v>0</v>
      </c>
      <c r="N165" s="374">
        <v>0</v>
      </c>
      <c r="O165" s="374">
        <v>0</v>
      </c>
      <c r="P165" s="374">
        <v>0</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0</v>
      </c>
      <c r="E167" s="370">
        <v>0</v>
      </c>
      <c r="F167" s="371">
        <f>SUM(G167:I167)</f>
        <v>0</v>
      </c>
      <c r="G167" s="370">
        <v>0</v>
      </c>
      <c r="H167" s="370">
        <v>0</v>
      </c>
      <c r="I167" s="370">
        <v>0</v>
      </c>
      <c r="J167" s="371">
        <f>SUM(K167:M167)</f>
        <v>0</v>
      </c>
      <c r="K167" s="370">
        <v>0</v>
      </c>
      <c r="L167" s="370">
        <v>0</v>
      </c>
      <c r="M167" s="370">
        <v>0</v>
      </c>
      <c r="N167" s="370">
        <v>0</v>
      </c>
      <c r="O167" s="370">
        <v>0</v>
      </c>
      <c r="P167" s="370">
        <v>0</v>
      </c>
    </row>
    <row r="168" spans="2:16" s="1" customFormat="1" ht="15.75" thickBot="1" x14ac:dyDescent="0.3">
      <c r="B168" s="382">
        <v>2</v>
      </c>
      <c r="C168" s="383" t="s">
        <v>477</v>
      </c>
      <c r="D168" s="373">
        <f>E168+F168+J168+N168+O168+P168</f>
        <v>0</v>
      </c>
      <c r="E168" s="374">
        <v>0</v>
      </c>
      <c r="F168" s="375">
        <f>SUM(G168:I168)</f>
        <v>0</v>
      </c>
      <c r="G168" s="374">
        <v>0</v>
      </c>
      <c r="H168" s="374">
        <v>0</v>
      </c>
      <c r="I168" s="374">
        <v>0</v>
      </c>
      <c r="J168" s="375">
        <f>SUM(K168:M168)</f>
        <v>0</v>
      </c>
      <c r="K168" s="374">
        <v>0</v>
      </c>
      <c r="L168" s="374">
        <v>0</v>
      </c>
      <c r="M168" s="374">
        <v>0</v>
      </c>
      <c r="N168" s="374">
        <v>0</v>
      </c>
      <c r="O168" s="374">
        <v>0</v>
      </c>
      <c r="P168" s="374">
        <v>0</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6">E170+F170+J170+N170+O170+P170</f>
        <v>0</v>
      </c>
      <c r="E170" s="370">
        <v>0</v>
      </c>
      <c r="F170" s="371">
        <f t="shared" ref="F170:F185" si="97">SUM(G170:I170)</f>
        <v>0</v>
      </c>
      <c r="G170" s="370">
        <v>0</v>
      </c>
      <c r="H170" s="370">
        <v>0</v>
      </c>
      <c r="I170" s="370">
        <v>0</v>
      </c>
      <c r="J170" s="371">
        <f t="shared" ref="J170:J185" si="98">SUM(K170:M170)</f>
        <v>0</v>
      </c>
      <c r="K170" s="370">
        <v>0</v>
      </c>
      <c r="L170" s="370">
        <v>0</v>
      </c>
      <c r="M170" s="370">
        <v>0</v>
      </c>
      <c r="N170" s="370">
        <v>0</v>
      </c>
      <c r="O170" s="370">
        <v>0</v>
      </c>
      <c r="P170" s="370">
        <v>0</v>
      </c>
    </row>
    <row r="171" spans="2:16" s="1" customFormat="1" x14ac:dyDescent="0.25">
      <c r="B171" s="380">
        <v>2</v>
      </c>
      <c r="C171" s="381" t="s">
        <v>481</v>
      </c>
      <c r="D171" s="369">
        <f t="shared" si="96"/>
        <v>0</v>
      </c>
      <c r="E171" s="370">
        <v>0</v>
      </c>
      <c r="F171" s="371">
        <f t="shared" si="97"/>
        <v>0</v>
      </c>
      <c r="G171" s="370">
        <v>0</v>
      </c>
      <c r="H171" s="370">
        <v>0</v>
      </c>
      <c r="I171" s="370">
        <v>0</v>
      </c>
      <c r="J171" s="371">
        <f t="shared" si="98"/>
        <v>0</v>
      </c>
      <c r="K171" s="370">
        <v>0</v>
      </c>
      <c r="L171" s="370">
        <v>0</v>
      </c>
      <c r="M171" s="370">
        <v>0</v>
      </c>
      <c r="N171" s="370">
        <v>0</v>
      </c>
      <c r="O171" s="370">
        <v>0</v>
      </c>
      <c r="P171" s="370">
        <v>0</v>
      </c>
    </row>
    <row r="172" spans="2:16" s="1" customFormat="1" x14ac:dyDescent="0.25">
      <c r="B172" s="380">
        <v>3</v>
      </c>
      <c r="C172" s="381" t="s">
        <v>482</v>
      </c>
      <c r="D172" s="369">
        <f t="shared" si="96"/>
        <v>0</v>
      </c>
      <c r="E172" s="370">
        <v>0</v>
      </c>
      <c r="F172" s="371">
        <f t="shared" si="97"/>
        <v>0</v>
      </c>
      <c r="G172" s="370">
        <v>0</v>
      </c>
      <c r="H172" s="370">
        <v>0</v>
      </c>
      <c r="I172" s="370">
        <v>0</v>
      </c>
      <c r="J172" s="371">
        <f t="shared" si="98"/>
        <v>0</v>
      </c>
      <c r="K172" s="370">
        <v>0</v>
      </c>
      <c r="L172" s="370">
        <v>0</v>
      </c>
      <c r="M172" s="370">
        <v>0</v>
      </c>
      <c r="N172" s="370">
        <v>0</v>
      </c>
      <c r="O172" s="370">
        <v>0</v>
      </c>
      <c r="P172" s="370">
        <v>0</v>
      </c>
    </row>
    <row r="173" spans="2:16" s="1" customFormat="1" x14ac:dyDescent="0.25">
      <c r="B173" s="380">
        <v>4</v>
      </c>
      <c r="C173" s="381" t="s">
        <v>483</v>
      </c>
      <c r="D173" s="369">
        <f t="shared" si="96"/>
        <v>0</v>
      </c>
      <c r="E173" s="370">
        <v>0</v>
      </c>
      <c r="F173" s="371">
        <f t="shared" si="97"/>
        <v>0</v>
      </c>
      <c r="G173" s="370">
        <v>0</v>
      </c>
      <c r="H173" s="370">
        <v>0</v>
      </c>
      <c r="I173" s="370">
        <v>0</v>
      </c>
      <c r="J173" s="371">
        <f t="shared" si="98"/>
        <v>0</v>
      </c>
      <c r="K173" s="370">
        <v>0</v>
      </c>
      <c r="L173" s="370">
        <v>0</v>
      </c>
      <c r="M173" s="370">
        <v>0</v>
      </c>
      <c r="N173" s="370">
        <v>0</v>
      </c>
      <c r="O173" s="370">
        <v>0</v>
      </c>
      <c r="P173" s="370">
        <v>0</v>
      </c>
    </row>
    <row r="174" spans="2:16" s="1" customFormat="1" x14ac:dyDescent="0.25">
      <c r="B174" s="380">
        <v>5</v>
      </c>
      <c r="C174" s="381" t="s">
        <v>484</v>
      </c>
      <c r="D174" s="369">
        <f t="shared" si="96"/>
        <v>0</v>
      </c>
      <c r="E174" s="370">
        <v>0</v>
      </c>
      <c r="F174" s="371">
        <f t="shared" si="97"/>
        <v>0</v>
      </c>
      <c r="G174" s="370">
        <v>0</v>
      </c>
      <c r="H174" s="370">
        <v>0</v>
      </c>
      <c r="I174" s="370">
        <v>0</v>
      </c>
      <c r="J174" s="371">
        <f t="shared" si="98"/>
        <v>0</v>
      </c>
      <c r="K174" s="370">
        <v>0</v>
      </c>
      <c r="L174" s="370">
        <v>0</v>
      </c>
      <c r="M174" s="370">
        <v>0</v>
      </c>
      <c r="N174" s="370">
        <v>0</v>
      </c>
      <c r="O174" s="370">
        <v>0</v>
      </c>
      <c r="P174" s="370">
        <v>0</v>
      </c>
    </row>
    <row r="175" spans="2:16" s="1" customFormat="1" x14ac:dyDescent="0.25">
      <c r="B175" s="380">
        <v>6</v>
      </c>
      <c r="C175" s="381" t="s">
        <v>485</v>
      </c>
      <c r="D175" s="369">
        <f t="shared" si="96"/>
        <v>0</v>
      </c>
      <c r="E175" s="370">
        <v>0</v>
      </c>
      <c r="F175" s="371">
        <f t="shared" si="97"/>
        <v>0</v>
      </c>
      <c r="G175" s="370">
        <v>0</v>
      </c>
      <c r="H175" s="370">
        <v>0</v>
      </c>
      <c r="I175" s="370">
        <v>0</v>
      </c>
      <c r="J175" s="371">
        <f t="shared" si="98"/>
        <v>0</v>
      </c>
      <c r="K175" s="370">
        <v>0</v>
      </c>
      <c r="L175" s="370">
        <v>0</v>
      </c>
      <c r="M175" s="370">
        <v>0</v>
      </c>
      <c r="N175" s="370">
        <v>0</v>
      </c>
      <c r="O175" s="370">
        <v>0</v>
      </c>
      <c r="P175" s="370">
        <v>0</v>
      </c>
    </row>
    <row r="176" spans="2:16" s="1" customFormat="1" x14ac:dyDescent="0.25">
      <c r="B176" s="380">
        <v>7</v>
      </c>
      <c r="C176" s="381" t="s">
        <v>486</v>
      </c>
      <c r="D176" s="369">
        <f t="shared" si="96"/>
        <v>0</v>
      </c>
      <c r="E176" s="370">
        <v>0</v>
      </c>
      <c r="F176" s="371">
        <f t="shared" si="97"/>
        <v>0</v>
      </c>
      <c r="G176" s="370">
        <v>0</v>
      </c>
      <c r="H176" s="370">
        <v>0</v>
      </c>
      <c r="I176" s="370">
        <v>0</v>
      </c>
      <c r="J176" s="371">
        <f t="shared" si="98"/>
        <v>0</v>
      </c>
      <c r="K176" s="370">
        <v>0</v>
      </c>
      <c r="L176" s="370">
        <v>0</v>
      </c>
      <c r="M176" s="370">
        <v>0</v>
      </c>
      <c r="N176" s="370">
        <v>0</v>
      </c>
      <c r="O176" s="370">
        <v>0</v>
      </c>
      <c r="P176" s="370">
        <v>0</v>
      </c>
    </row>
    <row r="177" spans="1:19" s="1" customFormat="1" x14ac:dyDescent="0.25">
      <c r="B177" s="380">
        <v>8</v>
      </c>
      <c r="C177" s="381" t="s">
        <v>487</v>
      </c>
      <c r="D177" s="369">
        <f t="shared" si="96"/>
        <v>0</v>
      </c>
      <c r="E177" s="370">
        <v>0</v>
      </c>
      <c r="F177" s="371">
        <f t="shared" si="97"/>
        <v>0</v>
      </c>
      <c r="G177" s="370">
        <v>0</v>
      </c>
      <c r="H177" s="370">
        <v>0</v>
      </c>
      <c r="I177" s="370">
        <v>0</v>
      </c>
      <c r="J177" s="371">
        <f t="shared" si="98"/>
        <v>0</v>
      </c>
      <c r="K177" s="370">
        <v>0</v>
      </c>
      <c r="L177" s="370">
        <v>0</v>
      </c>
      <c r="M177" s="370">
        <v>0</v>
      </c>
      <c r="N177" s="370">
        <v>0</v>
      </c>
      <c r="O177" s="370">
        <v>0</v>
      </c>
      <c r="P177" s="370">
        <v>0</v>
      </c>
    </row>
    <row r="178" spans="1:19" s="1" customFormat="1" x14ac:dyDescent="0.25">
      <c r="B178" s="380">
        <v>9</v>
      </c>
      <c r="C178" s="381" t="s">
        <v>488</v>
      </c>
      <c r="D178" s="369">
        <f t="shared" si="96"/>
        <v>0</v>
      </c>
      <c r="E178" s="370">
        <v>0</v>
      </c>
      <c r="F178" s="371">
        <f t="shared" si="97"/>
        <v>0</v>
      </c>
      <c r="G178" s="370">
        <v>0</v>
      </c>
      <c r="H178" s="370">
        <v>0</v>
      </c>
      <c r="I178" s="370">
        <v>0</v>
      </c>
      <c r="J178" s="371">
        <f t="shared" si="98"/>
        <v>0</v>
      </c>
      <c r="K178" s="370">
        <v>0</v>
      </c>
      <c r="L178" s="370">
        <v>0</v>
      </c>
      <c r="M178" s="370">
        <v>0</v>
      </c>
      <c r="N178" s="370">
        <v>0</v>
      </c>
      <c r="O178" s="370">
        <v>0</v>
      </c>
      <c r="P178" s="370">
        <v>0</v>
      </c>
    </row>
    <row r="179" spans="1:19" s="1" customFormat="1" x14ac:dyDescent="0.25">
      <c r="B179" s="380">
        <v>10</v>
      </c>
      <c r="C179" s="381" t="s">
        <v>489</v>
      </c>
      <c r="D179" s="369">
        <f t="shared" si="96"/>
        <v>0</v>
      </c>
      <c r="E179" s="370">
        <v>0</v>
      </c>
      <c r="F179" s="371">
        <f t="shared" si="97"/>
        <v>0</v>
      </c>
      <c r="G179" s="370">
        <v>0</v>
      </c>
      <c r="H179" s="370">
        <v>0</v>
      </c>
      <c r="I179" s="370">
        <v>0</v>
      </c>
      <c r="J179" s="371">
        <f t="shared" si="98"/>
        <v>0</v>
      </c>
      <c r="K179" s="370">
        <v>0</v>
      </c>
      <c r="L179" s="370">
        <v>0</v>
      </c>
      <c r="M179" s="370">
        <v>0</v>
      </c>
      <c r="N179" s="370">
        <v>0</v>
      </c>
      <c r="O179" s="370">
        <v>0</v>
      </c>
      <c r="P179" s="370">
        <v>0</v>
      </c>
    </row>
    <row r="180" spans="1:19" s="1" customFormat="1" x14ac:dyDescent="0.25">
      <c r="B180" s="380">
        <v>11</v>
      </c>
      <c r="C180" s="381" t="s">
        <v>490</v>
      </c>
      <c r="D180" s="369">
        <f t="shared" si="96"/>
        <v>0</v>
      </c>
      <c r="E180" s="370">
        <v>0</v>
      </c>
      <c r="F180" s="371">
        <f t="shared" si="97"/>
        <v>0</v>
      </c>
      <c r="G180" s="370">
        <v>0</v>
      </c>
      <c r="H180" s="370">
        <v>0</v>
      </c>
      <c r="I180" s="370">
        <v>0</v>
      </c>
      <c r="J180" s="371">
        <f t="shared" si="98"/>
        <v>0</v>
      </c>
      <c r="K180" s="370">
        <v>0</v>
      </c>
      <c r="L180" s="370">
        <v>0</v>
      </c>
      <c r="M180" s="370">
        <v>0</v>
      </c>
      <c r="N180" s="370">
        <v>0</v>
      </c>
      <c r="O180" s="370">
        <v>0</v>
      </c>
      <c r="P180" s="370">
        <v>0</v>
      </c>
    </row>
    <row r="181" spans="1:19" s="1" customFormat="1" x14ac:dyDescent="0.25">
      <c r="B181" s="380">
        <v>12</v>
      </c>
      <c r="C181" s="381" t="s">
        <v>491</v>
      </c>
      <c r="D181" s="369">
        <f t="shared" si="96"/>
        <v>0</v>
      </c>
      <c r="E181" s="370">
        <v>0</v>
      </c>
      <c r="F181" s="371">
        <f t="shared" si="97"/>
        <v>0</v>
      </c>
      <c r="G181" s="370">
        <v>0</v>
      </c>
      <c r="H181" s="370">
        <v>0</v>
      </c>
      <c r="I181" s="370">
        <v>0</v>
      </c>
      <c r="J181" s="371">
        <f t="shared" si="98"/>
        <v>0</v>
      </c>
      <c r="K181" s="370">
        <v>0</v>
      </c>
      <c r="L181" s="370">
        <v>0</v>
      </c>
      <c r="M181" s="370">
        <v>0</v>
      </c>
      <c r="N181" s="370">
        <v>0</v>
      </c>
      <c r="O181" s="370">
        <v>0</v>
      </c>
      <c r="P181" s="370">
        <v>0</v>
      </c>
    </row>
    <row r="182" spans="1:19" s="1" customFormat="1" x14ac:dyDescent="0.25">
      <c r="B182" s="380">
        <v>13</v>
      </c>
      <c r="C182" s="381" t="s">
        <v>492</v>
      </c>
      <c r="D182" s="369">
        <f t="shared" si="96"/>
        <v>0</v>
      </c>
      <c r="E182" s="370">
        <v>0</v>
      </c>
      <c r="F182" s="371">
        <f t="shared" si="97"/>
        <v>0</v>
      </c>
      <c r="G182" s="370">
        <v>0</v>
      </c>
      <c r="H182" s="370">
        <v>0</v>
      </c>
      <c r="I182" s="370">
        <v>0</v>
      </c>
      <c r="J182" s="371">
        <f t="shared" si="98"/>
        <v>0</v>
      </c>
      <c r="K182" s="370">
        <v>0</v>
      </c>
      <c r="L182" s="370">
        <v>0</v>
      </c>
      <c r="M182" s="370">
        <v>0</v>
      </c>
      <c r="N182" s="370">
        <v>0</v>
      </c>
      <c r="O182" s="370">
        <v>0</v>
      </c>
      <c r="P182" s="370">
        <v>0</v>
      </c>
    </row>
    <row r="183" spans="1:19" s="1" customFormat="1" ht="15.75" thickBot="1" x14ac:dyDescent="0.3">
      <c r="B183" s="382">
        <v>14</v>
      </c>
      <c r="C183" s="383" t="s">
        <v>493</v>
      </c>
      <c r="D183" s="373">
        <f t="shared" si="96"/>
        <v>0</v>
      </c>
      <c r="E183" s="374">
        <v>0</v>
      </c>
      <c r="F183" s="375">
        <f t="shared" si="97"/>
        <v>0</v>
      </c>
      <c r="G183" s="374">
        <v>0</v>
      </c>
      <c r="H183" s="374">
        <v>0</v>
      </c>
      <c r="I183" s="374">
        <v>0</v>
      </c>
      <c r="J183" s="375">
        <f t="shared" si="98"/>
        <v>0</v>
      </c>
      <c r="K183" s="374">
        <v>0</v>
      </c>
      <c r="L183" s="374">
        <v>0</v>
      </c>
      <c r="M183" s="374">
        <v>0</v>
      </c>
      <c r="N183" s="374">
        <v>0</v>
      </c>
      <c r="O183" s="374">
        <v>0</v>
      </c>
      <c r="P183" s="374">
        <v>0</v>
      </c>
    </row>
    <row r="184" spans="1:19" s="1" customFormat="1" ht="15.75" thickBot="1" x14ac:dyDescent="0.3">
      <c r="B184" s="384" t="s">
        <v>494</v>
      </c>
      <c r="C184" s="385" t="s">
        <v>392</v>
      </c>
      <c r="D184" s="386">
        <f t="shared" si="96"/>
        <v>0</v>
      </c>
      <c r="E184" s="387">
        <v>0</v>
      </c>
      <c r="F184" s="388">
        <f t="shared" si="97"/>
        <v>0</v>
      </c>
      <c r="G184" s="387">
        <v>0</v>
      </c>
      <c r="H184" s="387">
        <v>0</v>
      </c>
      <c r="I184" s="387">
        <v>0</v>
      </c>
      <c r="J184" s="388">
        <f t="shared" si="98"/>
        <v>0</v>
      </c>
      <c r="K184" s="387">
        <v>0</v>
      </c>
      <c r="L184" s="387">
        <v>0</v>
      </c>
      <c r="M184" s="387">
        <v>0</v>
      </c>
      <c r="N184" s="387">
        <v>0</v>
      </c>
      <c r="O184" s="387">
        <v>0</v>
      </c>
      <c r="P184" s="387">
        <v>0</v>
      </c>
    </row>
    <row r="185" spans="1:19" s="1" customFormat="1" ht="15.75" thickBot="1" x14ac:dyDescent="0.3">
      <c r="B185" s="391" t="s">
        <v>495</v>
      </c>
      <c r="C185" s="392" t="s">
        <v>394</v>
      </c>
      <c r="D185" s="393">
        <f t="shared" si="96"/>
        <v>0</v>
      </c>
      <c r="E185" s="394">
        <v>0</v>
      </c>
      <c r="F185" s="395">
        <f t="shared" si="97"/>
        <v>0</v>
      </c>
      <c r="G185" s="394">
        <v>0</v>
      </c>
      <c r="H185" s="394">
        <v>0</v>
      </c>
      <c r="I185" s="394">
        <v>0</v>
      </c>
      <c r="J185" s="395">
        <f t="shared" si="98"/>
        <v>0</v>
      </c>
      <c r="K185" s="394">
        <v>0</v>
      </c>
      <c r="L185" s="394">
        <v>0</v>
      </c>
      <c r="M185" s="394">
        <v>0</v>
      </c>
      <c r="N185" s="394">
        <v>0</v>
      </c>
      <c r="O185" s="394">
        <v>0</v>
      </c>
      <c r="P185" s="394">
        <v>0</v>
      </c>
    </row>
    <row r="186" spans="1:19" s="1" customFormat="1" ht="45" customHeight="1" thickTop="1" thickBot="1" x14ac:dyDescent="0.3">
      <c r="B186" s="134" t="s">
        <v>77</v>
      </c>
      <c r="C186" s="135" t="s">
        <v>496</v>
      </c>
      <c r="D186" s="324">
        <f t="shared" ref="D186:P186" si="99">D187+D189+D192+D194+D201+D200+D206+D210+D213+D229+D230</f>
        <v>211.38952994896096</v>
      </c>
      <c r="E186" s="396">
        <f t="shared" si="99"/>
        <v>6.3201181360721534</v>
      </c>
      <c r="F186" s="134">
        <f t="shared" si="99"/>
        <v>39.879352170848584</v>
      </c>
      <c r="G186" s="229">
        <f t="shared" si="99"/>
        <v>10.090622987884785</v>
      </c>
      <c r="H186" s="230">
        <f t="shared" si="99"/>
        <v>3.9755055751264017</v>
      </c>
      <c r="I186" s="231">
        <f t="shared" si="99"/>
        <v>25.813223607837401</v>
      </c>
      <c r="J186" s="134">
        <f t="shared" si="99"/>
        <v>60.655191332512771</v>
      </c>
      <c r="K186" s="229">
        <f t="shared" si="99"/>
        <v>22.470414408694122</v>
      </c>
      <c r="L186" s="230">
        <f t="shared" si="99"/>
        <v>32.188305547386101</v>
      </c>
      <c r="M186" s="230">
        <f t="shared" si="99"/>
        <v>5.996471376432555</v>
      </c>
      <c r="N186" s="227">
        <f t="shared" si="99"/>
        <v>0</v>
      </c>
      <c r="O186" s="228">
        <f t="shared" si="99"/>
        <v>67.885691539189921</v>
      </c>
      <c r="P186" s="134">
        <f t="shared" si="99"/>
        <v>36.649176770337569</v>
      </c>
      <c r="Q186" s="325"/>
      <c r="R186" s="326"/>
      <c r="S186" s="205"/>
    </row>
    <row r="187" spans="1:19" s="1" customFormat="1" ht="15.75" thickTop="1" x14ac:dyDescent="0.25">
      <c r="B187" s="397" t="s">
        <v>497</v>
      </c>
      <c r="C187" s="398" t="s">
        <v>303</v>
      </c>
      <c r="D187" s="399">
        <f t="shared" ref="D187:P187" si="100">D188</f>
        <v>3.3563199999999997</v>
      </c>
      <c r="E187" s="400">
        <f t="shared" si="100"/>
        <v>0.10173458591115114</v>
      </c>
      <c r="F187" s="397">
        <f t="shared" si="100"/>
        <v>0.63197114514047337</v>
      </c>
      <c r="G187" s="401">
        <f t="shared" si="100"/>
        <v>0.1546144939755737</v>
      </c>
      <c r="H187" s="402">
        <f t="shared" si="100"/>
        <v>6.3993489483143401E-2</v>
      </c>
      <c r="I187" s="403">
        <f t="shared" si="100"/>
        <v>0.4133631616817563</v>
      </c>
      <c r="J187" s="397">
        <f t="shared" si="100"/>
        <v>0.96347715174050552</v>
      </c>
      <c r="K187" s="401">
        <f t="shared" si="100"/>
        <v>0.36170499599888539</v>
      </c>
      <c r="L187" s="402">
        <f t="shared" si="100"/>
        <v>0.50524729350406528</v>
      </c>
      <c r="M187" s="402">
        <f t="shared" si="100"/>
        <v>9.6524862237554812E-2</v>
      </c>
      <c r="N187" s="404">
        <f t="shared" si="100"/>
        <v>0</v>
      </c>
      <c r="O187" s="405">
        <f t="shared" si="100"/>
        <v>1.0863416754906559</v>
      </c>
      <c r="P187" s="397">
        <f t="shared" si="100"/>
        <v>0.57279544171721397</v>
      </c>
      <c r="Q187" s="325"/>
      <c r="R187" s="326"/>
    </row>
    <row r="188" spans="1:19" s="1" customFormat="1" ht="26.25" thickBot="1" x14ac:dyDescent="0.3">
      <c r="A188" s="406"/>
      <c r="B188" s="171" t="s">
        <v>498</v>
      </c>
      <c r="C188" s="168" t="s">
        <v>499</v>
      </c>
      <c r="D188" s="407">
        <v>3.3563199999999997</v>
      </c>
      <c r="E188" s="408">
        <f>IFERROR($D188*E$237/100, 0)</f>
        <v>0.10173458591115114</v>
      </c>
      <c r="F188" s="314">
        <f>SUM(G188:I188)</f>
        <v>0.63197114514047337</v>
      </c>
      <c r="G188" s="409">
        <f>IFERROR($D188*G$237/100, 0)</f>
        <v>0.1546144939755737</v>
      </c>
      <c r="H188" s="410">
        <f>IFERROR($D188*H$237/100, 0)</f>
        <v>6.3993489483143401E-2</v>
      </c>
      <c r="I188" s="411">
        <f>IFERROR($D188*I$237/100, 0)</f>
        <v>0.4133631616817563</v>
      </c>
      <c r="J188" s="314">
        <f t="shared" ref="J188:J235" si="101">SUM(K188:M188)</f>
        <v>0.96347715174050552</v>
      </c>
      <c r="K188" s="409">
        <f t="shared" ref="K188:P188" si="102">IFERROR($D188*K$237/100, 0)</f>
        <v>0.36170499599888539</v>
      </c>
      <c r="L188" s="410">
        <f t="shared" si="102"/>
        <v>0.50524729350406528</v>
      </c>
      <c r="M188" s="410">
        <f t="shared" si="102"/>
        <v>9.6524862237554812E-2</v>
      </c>
      <c r="N188" s="412">
        <f t="shared" si="102"/>
        <v>0</v>
      </c>
      <c r="O188" s="413">
        <f t="shared" si="102"/>
        <v>1.0863416754906559</v>
      </c>
      <c r="P188" s="314">
        <f t="shared" si="102"/>
        <v>0.57279544171721397</v>
      </c>
      <c r="Q188" s="336"/>
      <c r="R188" s="337"/>
    </row>
    <row r="189" spans="1:19" s="4" customFormat="1" x14ac:dyDescent="0.25">
      <c r="B189" s="150" t="s">
        <v>171</v>
      </c>
      <c r="C189" s="204" t="s">
        <v>313</v>
      </c>
      <c r="D189" s="338">
        <f t="shared" ref="D189:I189" si="103">SUM(D190:D191)</f>
        <v>1.0843700000000001</v>
      </c>
      <c r="E189" s="414">
        <f t="shared" si="103"/>
        <v>3.2868717203507106E-2</v>
      </c>
      <c r="F189" s="154">
        <f t="shared" si="103"/>
        <v>0.20417914580730537</v>
      </c>
      <c r="G189" s="155">
        <f t="shared" si="103"/>
        <v>4.995331757171332E-2</v>
      </c>
      <c r="H189" s="156">
        <f t="shared" si="103"/>
        <v>2.0675209810398359E-2</v>
      </c>
      <c r="I189" s="157">
        <f t="shared" si="103"/>
        <v>0.1335506184251937</v>
      </c>
      <c r="J189" s="154">
        <f t="shared" si="101"/>
        <v>0.31128310740121684</v>
      </c>
      <c r="K189" s="155">
        <f t="shared" ref="K189:P189" si="104">SUM(K190:K191)</f>
        <v>0.11686074227466731</v>
      </c>
      <c r="L189" s="156">
        <f t="shared" si="104"/>
        <v>0.16323682117825578</v>
      </c>
      <c r="M189" s="156">
        <f t="shared" si="104"/>
        <v>3.1185543948293769E-2</v>
      </c>
      <c r="N189" s="152">
        <f t="shared" si="104"/>
        <v>0</v>
      </c>
      <c r="O189" s="153">
        <f t="shared" si="104"/>
        <v>0.35097854872354317</v>
      </c>
      <c r="P189" s="154">
        <f t="shared" si="104"/>
        <v>0.18506048086442753</v>
      </c>
      <c r="Q189" s="325"/>
      <c r="R189" s="326"/>
    </row>
    <row r="190" spans="1:19" s="1" customFormat="1" x14ac:dyDescent="0.25">
      <c r="B190" s="259" t="s">
        <v>500</v>
      </c>
      <c r="C190" s="168" t="s">
        <v>501</v>
      </c>
      <c r="D190" s="335">
        <v>0</v>
      </c>
      <c r="E190" s="415">
        <f>IFERROR($D190*E$237/100, 0)</f>
        <v>0</v>
      </c>
      <c r="F190" s="206">
        <f t="shared" ref="F190:F235" si="105">SUM(G190:I190)</f>
        <v>0</v>
      </c>
      <c r="G190" s="210">
        <f t="shared" ref="G190:I191" si="106">IFERROR($D190*G$237/100, 0)</f>
        <v>0</v>
      </c>
      <c r="H190" s="211">
        <f t="shared" si="106"/>
        <v>0</v>
      </c>
      <c r="I190" s="212">
        <f t="shared" si="106"/>
        <v>0</v>
      </c>
      <c r="J190" s="206">
        <f t="shared" si="101"/>
        <v>0</v>
      </c>
      <c r="K190" s="210">
        <f t="shared" ref="K190:P191" si="107">IFERROR($D190*K$237/100, 0)</f>
        <v>0</v>
      </c>
      <c r="L190" s="211">
        <f t="shared" si="107"/>
        <v>0</v>
      </c>
      <c r="M190" s="211">
        <f t="shared" si="107"/>
        <v>0</v>
      </c>
      <c r="N190" s="208">
        <f t="shared" si="107"/>
        <v>0</v>
      </c>
      <c r="O190" s="209">
        <f t="shared" si="107"/>
        <v>0</v>
      </c>
      <c r="P190" s="206">
        <f t="shared" si="107"/>
        <v>0</v>
      </c>
      <c r="Q190" s="336"/>
      <c r="R190" s="337"/>
    </row>
    <row r="191" spans="1:19" s="1" customFormat="1" ht="15.75" thickBot="1" x14ac:dyDescent="0.3">
      <c r="B191" s="416" t="s">
        <v>502</v>
      </c>
      <c r="C191" s="417" t="s">
        <v>317</v>
      </c>
      <c r="D191" s="345">
        <v>1.0843700000000001</v>
      </c>
      <c r="E191" s="418">
        <f>IFERROR($D191*E$237/100, 0)</f>
        <v>3.2868717203507106E-2</v>
      </c>
      <c r="F191" s="347">
        <f t="shared" si="105"/>
        <v>0.20417914580730537</v>
      </c>
      <c r="G191" s="348">
        <f t="shared" si="106"/>
        <v>4.995331757171332E-2</v>
      </c>
      <c r="H191" s="349">
        <f t="shared" si="106"/>
        <v>2.0675209810398359E-2</v>
      </c>
      <c r="I191" s="350">
        <f t="shared" si="106"/>
        <v>0.1335506184251937</v>
      </c>
      <c r="J191" s="347">
        <f t="shared" si="101"/>
        <v>0.31128310740121684</v>
      </c>
      <c r="K191" s="348">
        <f t="shared" si="107"/>
        <v>0.11686074227466731</v>
      </c>
      <c r="L191" s="349">
        <f t="shared" si="107"/>
        <v>0.16323682117825578</v>
      </c>
      <c r="M191" s="349">
        <f t="shared" si="107"/>
        <v>3.1185543948293769E-2</v>
      </c>
      <c r="N191" s="351">
        <f t="shared" si="107"/>
        <v>0</v>
      </c>
      <c r="O191" s="346">
        <f t="shared" si="107"/>
        <v>0.35097854872354317</v>
      </c>
      <c r="P191" s="347">
        <f t="shared" si="107"/>
        <v>0.18506048086442753</v>
      </c>
      <c r="Q191" s="336"/>
      <c r="R191" s="337"/>
    </row>
    <row r="192" spans="1:19" s="1" customFormat="1" x14ac:dyDescent="0.25">
      <c r="B192" s="142" t="s">
        <v>173</v>
      </c>
      <c r="C192" s="143" t="s">
        <v>319</v>
      </c>
      <c r="D192" s="419">
        <f>D193</f>
        <v>0</v>
      </c>
      <c r="E192" s="420">
        <f>E193</f>
        <v>0</v>
      </c>
      <c r="F192" s="146">
        <f t="shared" si="105"/>
        <v>0</v>
      </c>
      <c r="G192" s="147">
        <f>G193</f>
        <v>0</v>
      </c>
      <c r="H192" s="148">
        <f>H193</f>
        <v>0</v>
      </c>
      <c r="I192" s="149">
        <f>I193</f>
        <v>0</v>
      </c>
      <c r="J192" s="146">
        <f t="shared" si="101"/>
        <v>0</v>
      </c>
      <c r="K192" s="147">
        <f t="shared" ref="K192:P192" si="108">K193</f>
        <v>0</v>
      </c>
      <c r="L192" s="148">
        <f t="shared" si="108"/>
        <v>0</v>
      </c>
      <c r="M192" s="148">
        <f t="shared" si="108"/>
        <v>0</v>
      </c>
      <c r="N192" s="144">
        <f t="shared" si="108"/>
        <v>0</v>
      </c>
      <c r="O192" s="145">
        <f t="shared" si="108"/>
        <v>0</v>
      </c>
      <c r="P192" s="146">
        <f t="shared" si="108"/>
        <v>0</v>
      </c>
      <c r="Q192" s="325"/>
      <c r="R192" s="326"/>
    </row>
    <row r="193" spans="2:18" s="1" customFormat="1" ht="15.75" thickBot="1" x14ac:dyDescent="0.3">
      <c r="B193" s="167" t="s">
        <v>503</v>
      </c>
      <c r="C193" s="168" t="s">
        <v>321</v>
      </c>
      <c r="D193" s="335">
        <v>0</v>
      </c>
      <c r="E193" s="415">
        <f>IFERROR($D193*E$237/100, 0)</f>
        <v>0</v>
      </c>
      <c r="F193" s="206">
        <f t="shared" si="105"/>
        <v>0</v>
      </c>
      <c r="G193" s="210">
        <f>IFERROR($D193*G$237/100, 0)</f>
        <v>0</v>
      </c>
      <c r="H193" s="211">
        <f>IFERROR($D193*H$237/100, 0)</f>
        <v>0</v>
      </c>
      <c r="I193" s="212">
        <f>IFERROR($D193*I$237/100, 0)</f>
        <v>0</v>
      </c>
      <c r="J193" s="206">
        <f t="shared" si="101"/>
        <v>0</v>
      </c>
      <c r="K193" s="210">
        <f t="shared" ref="K193:P193" si="109">IFERROR($D193*K$237/100, 0)</f>
        <v>0</v>
      </c>
      <c r="L193" s="211">
        <f t="shared" si="109"/>
        <v>0</v>
      </c>
      <c r="M193" s="211">
        <f t="shared" si="109"/>
        <v>0</v>
      </c>
      <c r="N193" s="208">
        <f t="shared" si="109"/>
        <v>0</v>
      </c>
      <c r="O193" s="209">
        <f t="shared" si="109"/>
        <v>0</v>
      </c>
      <c r="P193" s="206">
        <f t="shared" si="109"/>
        <v>0</v>
      </c>
      <c r="Q193" s="336"/>
      <c r="R193" s="337"/>
    </row>
    <row r="194" spans="2:18" s="4" customFormat="1" x14ac:dyDescent="0.25">
      <c r="B194" s="150" t="s">
        <v>175</v>
      </c>
      <c r="C194" s="204" t="s">
        <v>323</v>
      </c>
      <c r="D194" s="338">
        <f>SUM(D195:D199)</f>
        <v>1.9804699999999997</v>
      </c>
      <c r="E194" s="414">
        <f>SUM(E195:E199)</f>
        <v>6.0030716784888652E-2</v>
      </c>
      <c r="F194" s="154">
        <f t="shared" si="105"/>
        <v>0.37290839187453917</v>
      </c>
      <c r="G194" s="155">
        <f>SUM(G195:G199)</f>
        <v>9.1233662726976111E-2</v>
      </c>
      <c r="H194" s="156">
        <f>SUM(H195:H199)</f>
        <v>3.7760757650248195E-2</v>
      </c>
      <c r="I194" s="157">
        <f>SUM(I195:I199)</f>
        <v>0.24391397149731489</v>
      </c>
      <c r="J194" s="154">
        <f t="shared" si="101"/>
        <v>0.56852075925642331</v>
      </c>
      <c r="K194" s="155">
        <f t="shared" ref="K194:P194" si="110">SUM(K195:K199)</f>
        <v>0.21343194136015411</v>
      </c>
      <c r="L194" s="156">
        <f t="shared" si="110"/>
        <v>0.29813221247258792</v>
      </c>
      <c r="M194" s="156">
        <f t="shared" si="110"/>
        <v>5.6956605423681347E-2</v>
      </c>
      <c r="N194" s="152">
        <f t="shared" si="110"/>
        <v>0</v>
      </c>
      <c r="O194" s="153">
        <f t="shared" si="110"/>
        <v>0.64101965785711112</v>
      </c>
      <c r="P194" s="154">
        <f t="shared" si="110"/>
        <v>0.33799047422703765</v>
      </c>
      <c r="Q194" s="325"/>
      <c r="R194" s="326"/>
    </row>
    <row r="195" spans="2:18" s="1" customFormat="1" x14ac:dyDescent="0.25">
      <c r="B195" s="167" t="s">
        <v>504</v>
      </c>
      <c r="C195" s="168" t="s">
        <v>277</v>
      </c>
      <c r="D195" s="335">
        <v>0.33577999999999997</v>
      </c>
      <c r="E195" s="415">
        <f>IFERROR($D195*E$237/100, 0)</f>
        <v>1.0177944670724581E-2</v>
      </c>
      <c r="F195" s="206">
        <f t="shared" si="105"/>
        <v>6.3224981859676121E-2</v>
      </c>
      <c r="G195" s="210">
        <f t="shared" ref="G195:I199" si="111">IFERROR($D195*G$237/100, 0)</f>
        <v>1.546826726507548E-2</v>
      </c>
      <c r="H195" s="211">
        <f t="shared" si="111"/>
        <v>6.4021707997598239E-3</v>
      </c>
      <c r="I195" s="212">
        <f t="shared" si="111"/>
        <v>4.1354543794840819E-2</v>
      </c>
      <c r="J195" s="206">
        <f t="shared" si="101"/>
        <v>9.6390200580226834E-2</v>
      </c>
      <c r="K195" s="210">
        <f t="shared" ref="K195:P199" si="112">IFERROR($D195*K$237/100, 0)</f>
        <v>3.6186449312492763E-2</v>
      </c>
      <c r="L195" s="211">
        <f t="shared" si="112"/>
        <v>5.0547008691899181E-2</v>
      </c>
      <c r="M195" s="211">
        <f t="shared" si="112"/>
        <v>9.6567425758348896E-3</v>
      </c>
      <c r="N195" s="208">
        <f t="shared" si="112"/>
        <v>0</v>
      </c>
      <c r="O195" s="209">
        <f t="shared" si="112"/>
        <v>0.10868207077878521</v>
      </c>
      <c r="P195" s="206">
        <f t="shared" si="112"/>
        <v>5.7304802110587222E-2</v>
      </c>
      <c r="Q195" s="336"/>
      <c r="R195" s="337"/>
    </row>
    <row r="196" spans="2:18" s="1" customFormat="1" x14ac:dyDescent="0.25">
      <c r="B196" s="167" t="s">
        <v>505</v>
      </c>
      <c r="C196" s="168" t="s">
        <v>281</v>
      </c>
      <c r="D196" s="335">
        <v>1.5015999999999998</v>
      </c>
      <c r="E196" s="415">
        <f>IFERROR($D196*E$237/100, 0)</f>
        <v>4.5515521226874835E-2</v>
      </c>
      <c r="F196" s="206">
        <f t="shared" si="105"/>
        <v>0.28274058240660449</v>
      </c>
      <c r="G196" s="210">
        <f t="shared" si="111"/>
        <v>6.9173715305370601E-2</v>
      </c>
      <c r="H196" s="211">
        <f t="shared" si="111"/>
        <v>2.8630352233365155E-2</v>
      </c>
      <c r="I196" s="212">
        <f t="shared" si="111"/>
        <v>0.18493651486786875</v>
      </c>
      <c r="J196" s="206">
        <f t="shared" si="101"/>
        <v>0.43105463455616366</v>
      </c>
      <c r="K196" s="210">
        <f t="shared" si="112"/>
        <v>0.16182492193590786</v>
      </c>
      <c r="L196" s="211">
        <f t="shared" si="112"/>
        <v>0.2260449944956692</v>
      </c>
      <c r="M196" s="211">
        <f t="shared" si="112"/>
        <v>4.3184718124586546E-2</v>
      </c>
      <c r="N196" s="208">
        <f t="shared" si="112"/>
        <v>0</v>
      </c>
      <c r="O196" s="209">
        <f t="shared" si="112"/>
        <v>0.4860235793716835</v>
      </c>
      <c r="P196" s="206">
        <f t="shared" si="112"/>
        <v>0.25626568243867348</v>
      </c>
      <c r="Q196" s="336"/>
      <c r="R196" s="337"/>
    </row>
    <row r="197" spans="2:18" s="1" customFormat="1" x14ac:dyDescent="0.25">
      <c r="B197" s="167" t="s">
        <v>506</v>
      </c>
      <c r="C197" s="250" t="s">
        <v>327</v>
      </c>
      <c r="D197" s="335">
        <v>0.14308999999999999</v>
      </c>
      <c r="E197" s="415">
        <f>IFERROR($D197*E$237/100, 0)</f>
        <v>4.3372508872892386E-3</v>
      </c>
      <c r="F197" s="206">
        <f t="shared" si="105"/>
        <v>2.694282760825855E-2</v>
      </c>
      <c r="G197" s="210">
        <f t="shared" si="111"/>
        <v>6.5916801565300207E-3</v>
      </c>
      <c r="H197" s="211">
        <f t="shared" si="111"/>
        <v>2.7282346171232153E-3</v>
      </c>
      <c r="I197" s="212">
        <f t="shared" si="111"/>
        <v>1.7622912834605313E-2</v>
      </c>
      <c r="J197" s="206">
        <f t="shared" si="101"/>
        <v>4.1075924120032928E-2</v>
      </c>
      <c r="K197" s="210">
        <f t="shared" si="112"/>
        <v>1.54205701117535E-2</v>
      </c>
      <c r="L197" s="211">
        <f t="shared" si="112"/>
        <v>2.154020928501952E-2</v>
      </c>
      <c r="M197" s="211">
        <f t="shared" si="112"/>
        <v>4.1151447232599149E-3</v>
      </c>
      <c r="N197" s="208">
        <f t="shared" si="112"/>
        <v>0</v>
      </c>
      <c r="O197" s="209">
        <f t="shared" si="112"/>
        <v>4.6314007706642374E-2</v>
      </c>
      <c r="P197" s="206">
        <f t="shared" si="112"/>
        <v>2.4419989677776893E-2</v>
      </c>
      <c r="Q197" s="336"/>
      <c r="R197" s="337"/>
    </row>
    <row r="198" spans="2:18" s="1" customFormat="1" x14ac:dyDescent="0.25">
      <c r="B198" s="167" t="s">
        <v>507</v>
      </c>
      <c r="C198" s="251" t="s">
        <v>279</v>
      </c>
      <c r="D198" s="335">
        <v>0</v>
      </c>
      <c r="E198" s="415">
        <f>IFERROR($D198*E$237/100, 0)</f>
        <v>0</v>
      </c>
      <c r="F198" s="206">
        <f t="shared" si="105"/>
        <v>0</v>
      </c>
      <c r="G198" s="210">
        <f t="shared" si="111"/>
        <v>0</v>
      </c>
      <c r="H198" s="211">
        <f t="shared" si="111"/>
        <v>0</v>
      </c>
      <c r="I198" s="212">
        <f t="shared" si="111"/>
        <v>0</v>
      </c>
      <c r="J198" s="206">
        <f t="shared" si="101"/>
        <v>0</v>
      </c>
      <c r="K198" s="210">
        <f t="shared" si="112"/>
        <v>0</v>
      </c>
      <c r="L198" s="211">
        <f t="shared" si="112"/>
        <v>0</v>
      </c>
      <c r="M198" s="211">
        <f t="shared" si="112"/>
        <v>0</v>
      </c>
      <c r="N198" s="208">
        <f t="shared" si="112"/>
        <v>0</v>
      </c>
      <c r="O198" s="209">
        <f t="shared" si="112"/>
        <v>0</v>
      </c>
      <c r="P198" s="206">
        <f t="shared" si="112"/>
        <v>0</v>
      </c>
      <c r="Q198" s="336"/>
      <c r="R198" s="337"/>
    </row>
    <row r="199" spans="2:18" s="1" customFormat="1" ht="27" thickBot="1" x14ac:dyDescent="0.3">
      <c r="B199" s="167" t="s">
        <v>508</v>
      </c>
      <c r="C199" s="251" t="s">
        <v>330</v>
      </c>
      <c r="D199" s="335">
        <v>0</v>
      </c>
      <c r="E199" s="415">
        <f>IFERROR($D199*E$237/100, 0)</f>
        <v>0</v>
      </c>
      <c r="F199" s="206">
        <f t="shared" si="105"/>
        <v>0</v>
      </c>
      <c r="G199" s="210">
        <f t="shared" si="111"/>
        <v>0</v>
      </c>
      <c r="H199" s="211">
        <f t="shared" si="111"/>
        <v>0</v>
      </c>
      <c r="I199" s="212">
        <f t="shared" si="111"/>
        <v>0</v>
      </c>
      <c r="J199" s="206">
        <f t="shared" si="101"/>
        <v>0</v>
      </c>
      <c r="K199" s="210">
        <f t="shared" si="112"/>
        <v>0</v>
      </c>
      <c r="L199" s="211">
        <f t="shared" si="112"/>
        <v>0</v>
      </c>
      <c r="M199" s="211">
        <f t="shared" si="112"/>
        <v>0</v>
      </c>
      <c r="N199" s="208">
        <f t="shared" si="112"/>
        <v>0</v>
      </c>
      <c r="O199" s="209">
        <f t="shared" si="112"/>
        <v>0</v>
      </c>
      <c r="P199" s="206">
        <f t="shared" si="112"/>
        <v>0</v>
      </c>
      <c r="Q199" s="336"/>
      <c r="R199" s="337"/>
    </row>
    <row r="200" spans="2:18" s="4" customFormat="1" ht="15.75" thickBot="1" x14ac:dyDescent="0.3">
      <c r="B200" s="150" t="s">
        <v>177</v>
      </c>
      <c r="C200" s="239" t="s">
        <v>332</v>
      </c>
      <c r="D200" s="421">
        <v>2.882868104509527</v>
      </c>
      <c r="E200" s="414">
        <f>IFERROR($D200*E$238/100, 0)</f>
        <v>0</v>
      </c>
      <c r="F200" s="154">
        <f t="shared" si="105"/>
        <v>0.61903317407371194</v>
      </c>
      <c r="G200" s="155">
        <f>IFERROR($D200*G$238/100, 0)</f>
        <v>0.48541489937834809</v>
      </c>
      <c r="H200" s="156">
        <f>IFERROR($D200*H$238/100, 0)</f>
        <v>0</v>
      </c>
      <c r="I200" s="157">
        <f>IFERROR($D200*I$238/100, 0)</f>
        <v>0.13361827469536389</v>
      </c>
      <c r="J200" s="154">
        <f t="shared" si="101"/>
        <v>0.80052769113982747</v>
      </c>
      <c r="K200" s="155">
        <f t="shared" ref="K200:P200" si="113">IFERROR($D200*K$238/100, 0)</f>
        <v>0</v>
      </c>
      <c r="L200" s="156">
        <f t="shared" si="113"/>
        <v>0.80052769113982747</v>
      </c>
      <c r="M200" s="156">
        <f t="shared" si="113"/>
        <v>0</v>
      </c>
      <c r="N200" s="152">
        <f t="shared" si="113"/>
        <v>0</v>
      </c>
      <c r="O200" s="153">
        <f t="shared" si="113"/>
        <v>0.3982420769619367</v>
      </c>
      <c r="P200" s="154">
        <f t="shared" si="113"/>
        <v>1.0650651623340506</v>
      </c>
      <c r="Q200" s="325"/>
      <c r="R200" s="326"/>
    </row>
    <row r="201" spans="2:18" s="4" customFormat="1" x14ac:dyDescent="0.25">
      <c r="B201" s="150" t="s">
        <v>179</v>
      </c>
      <c r="C201" s="204" t="s">
        <v>334</v>
      </c>
      <c r="D201" s="338">
        <f>SUM(D202:D205)</f>
        <v>160.16906184445145</v>
      </c>
      <c r="E201" s="414">
        <f>SUM(E202:E205)</f>
        <v>4.8549402865408622</v>
      </c>
      <c r="F201" s="154">
        <f t="shared" si="105"/>
        <v>30.158693280114321</v>
      </c>
      <c r="G201" s="155">
        <f>SUM(G202:G205)</f>
        <v>7.3784557037535841</v>
      </c>
      <c r="H201" s="156">
        <f>SUM(H202:H205)</f>
        <v>3.0538736397804294</v>
      </c>
      <c r="I201" s="157">
        <f>SUM(I202:I205)</f>
        <v>19.726363936580306</v>
      </c>
      <c r="J201" s="154">
        <f t="shared" si="101"/>
        <v>45.978700333353487</v>
      </c>
      <c r="K201" s="155">
        <f t="shared" ref="K201:P201" si="114">SUM(K202:K205)</f>
        <v>17.261152057489312</v>
      </c>
      <c r="L201" s="156">
        <f t="shared" si="114"/>
        <v>24.111224495874758</v>
      </c>
      <c r="M201" s="156">
        <f t="shared" si="114"/>
        <v>4.6063237799894168</v>
      </c>
      <c r="N201" s="152">
        <f t="shared" si="114"/>
        <v>0</v>
      </c>
      <c r="O201" s="153">
        <f t="shared" si="114"/>
        <v>51.841995699417183</v>
      </c>
      <c r="P201" s="154">
        <f t="shared" si="114"/>
        <v>27.334732245025606</v>
      </c>
      <c r="Q201" s="325"/>
      <c r="R201" s="326"/>
    </row>
    <row r="202" spans="2:18" s="1" customFormat="1" x14ac:dyDescent="0.25">
      <c r="B202" s="259" t="s">
        <v>509</v>
      </c>
      <c r="C202" s="260" t="s">
        <v>336</v>
      </c>
      <c r="D202" s="335">
        <v>156.30569</v>
      </c>
      <c r="E202" s="415">
        <f>IFERROR($D202*E$237/100, 0)</f>
        <v>4.7378362753571643</v>
      </c>
      <c r="F202" s="206">
        <f t="shared" si="105"/>
        <v>29.431247884966822</v>
      </c>
      <c r="G202" s="210">
        <f t="shared" ref="G202:I205" si="115">IFERROR($D202*G$237/100, 0)</f>
        <v>7.2004830185598783</v>
      </c>
      <c r="H202" s="211">
        <f t="shared" si="115"/>
        <v>2.9802124139445807</v>
      </c>
      <c r="I202" s="212">
        <f t="shared" si="115"/>
        <v>19.250552452462365</v>
      </c>
      <c r="J202" s="206">
        <f t="shared" si="101"/>
        <v>44.869667076451123</v>
      </c>
      <c r="K202" s="210">
        <f t="shared" ref="K202:P205" si="116">IFERROR($D202*K$237/100, 0)</f>
        <v>16.844802931798224</v>
      </c>
      <c r="L202" s="211">
        <f t="shared" si="116"/>
        <v>23.529647599688186</v>
      </c>
      <c r="M202" s="211">
        <f t="shared" si="116"/>
        <v>4.495216544964709</v>
      </c>
      <c r="N202" s="208">
        <f t="shared" si="116"/>
        <v>0</v>
      </c>
      <c r="O202" s="209">
        <f t="shared" si="116"/>
        <v>50.591536314571634</v>
      </c>
      <c r="P202" s="206">
        <f t="shared" si="116"/>
        <v>26.675402448653262</v>
      </c>
      <c r="Q202" s="336"/>
      <c r="R202" s="337"/>
    </row>
    <row r="203" spans="2:18" s="1" customFormat="1" x14ac:dyDescent="0.25">
      <c r="B203" s="259" t="s">
        <v>510</v>
      </c>
      <c r="C203" s="260" t="s">
        <v>338</v>
      </c>
      <c r="D203" s="335">
        <v>2.7933718444514573</v>
      </c>
      <c r="E203" s="415">
        <f>IFERROR($D203*E$237/100, 0)</f>
        <v>8.4670868061191285E-2</v>
      </c>
      <c r="F203" s="206">
        <f t="shared" si="105"/>
        <v>0.52597201796644655</v>
      </c>
      <c r="G203" s="210">
        <f t="shared" si="115"/>
        <v>0.12868134570466375</v>
      </c>
      <c r="H203" s="211">
        <f t="shared" si="115"/>
        <v>5.3260002547556029E-2</v>
      </c>
      <c r="I203" s="212">
        <f t="shared" si="115"/>
        <v>0.34403066971422674</v>
      </c>
      <c r="J203" s="206">
        <f t="shared" si="101"/>
        <v>0.80187525279002381</v>
      </c>
      <c r="K203" s="210">
        <f t="shared" si="116"/>
        <v>0.30103701429563134</v>
      </c>
      <c r="L203" s="211">
        <f t="shared" si="116"/>
        <v>0.42050327863837711</v>
      </c>
      <c r="M203" s="211">
        <f t="shared" si="116"/>
        <v>8.0334959856015312E-2</v>
      </c>
      <c r="N203" s="208">
        <f t="shared" si="116"/>
        <v>0</v>
      </c>
      <c r="O203" s="209">
        <f t="shared" si="116"/>
        <v>0.90413198079140844</v>
      </c>
      <c r="P203" s="206">
        <f t="shared" si="116"/>
        <v>0.47672172484238728</v>
      </c>
      <c r="Q203" s="336"/>
      <c r="R203" s="337"/>
    </row>
    <row r="204" spans="2:18" s="1" customFormat="1" x14ac:dyDescent="0.25">
      <c r="B204" s="259" t="s">
        <v>511</v>
      </c>
      <c r="C204" s="260" t="s">
        <v>340</v>
      </c>
      <c r="D204" s="335">
        <v>0</v>
      </c>
      <c r="E204" s="415">
        <f>IFERROR($D204*E$237/100, 0)</f>
        <v>0</v>
      </c>
      <c r="F204" s="206">
        <f t="shared" si="105"/>
        <v>0</v>
      </c>
      <c r="G204" s="210">
        <f t="shared" si="115"/>
        <v>0</v>
      </c>
      <c r="H204" s="211">
        <f t="shared" si="115"/>
        <v>0</v>
      </c>
      <c r="I204" s="212">
        <f t="shared" si="115"/>
        <v>0</v>
      </c>
      <c r="J204" s="206">
        <f t="shared" si="101"/>
        <v>0</v>
      </c>
      <c r="K204" s="210">
        <f t="shared" si="116"/>
        <v>0</v>
      </c>
      <c r="L204" s="211">
        <f t="shared" si="116"/>
        <v>0</v>
      </c>
      <c r="M204" s="211">
        <f t="shared" si="116"/>
        <v>0</v>
      </c>
      <c r="N204" s="208">
        <f t="shared" si="116"/>
        <v>0</v>
      </c>
      <c r="O204" s="209">
        <f t="shared" si="116"/>
        <v>0</v>
      </c>
      <c r="P204" s="206">
        <f t="shared" si="116"/>
        <v>0</v>
      </c>
      <c r="Q204" s="336"/>
      <c r="R204" s="337"/>
    </row>
    <row r="205" spans="2:18" s="1" customFormat="1" ht="15.75" thickBot="1" x14ac:dyDescent="0.3">
      <c r="B205" s="259" t="s">
        <v>512</v>
      </c>
      <c r="C205" s="260" t="s">
        <v>342</v>
      </c>
      <c r="D205" s="335">
        <v>1.07</v>
      </c>
      <c r="E205" s="415">
        <f>IFERROR($D205*E$237/100, 0)</f>
        <v>3.2433143122506711E-2</v>
      </c>
      <c r="F205" s="206">
        <f t="shared" si="105"/>
        <v>0.20147337718105143</v>
      </c>
      <c r="G205" s="210">
        <f t="shared" si="115"/>
        <v>4.929133948904272E-2</v>
      </c>
      <c r="H205" s="211">
        <f t="shared" si="115"/>
        <v>2.0401223288292969E-2</v>
      </c>
      <c r="I205" s="212">
        <f t="shared" si="115"/>
        <v>0.13178081440371575</v>
      </c>
      <c r="J205" s="206">
        <f t="shared" si="101"/>
        <v>0.30715800411234356</v>
      </c>
      <c r="K205" s="210">
        <f t="shared" si="116"/>
        <v>0.11531211139545913</v>
      </c>
      <c r="L205" s="211">
        <f t="shared" si="116"/>
        <v>0.16107361754819266</v>
      </c>
      <c r="M205" s="211">
        <f t="shared" si="116"/>
        <v>3.0772275168691805E-2</v>
      </c>
      <c r="N205" s="208">
        <f t="shared" si="116"/>
        <v>0</v>
      </c>
      <c r="O205" s="209">
        <f t="shared" si="116"/>
        <v>0.3463274040541432</v>
      </c>
      <c r="P205" s="206">
        <f t="shared" si="116"/>
        <v>0.18260807152995515</v>
      </c>
      <c r="Q205" s="336"/>
      <c r="R205" s="337"/>
    </row>
    <row r="206" spans="2:18" s="4" customFormat="1" x14ac:dyDescent="0.25">
      <c r="B206" s="150" t="s">
        <v>181</v>
      </c>
      <c r="C206" s="204" t="s">
        <v>344</v>
      </c>
      <c r="D206" s="338">
        <f>SUM(D207:D209)</f>
        <v>0.17599999999999999</v>
      </c>
      <c r="E206" s="414">
        <f>SUM(E207:E209)</f>
        <v>5.3347973734216647E-3</v>
      </c>
      <c r="F206" s="154">
        <f t="shared" si="105"/>
        <v>3.3139546153144905E-2</v>
      </c>
      <c r="G206" s="155">
        <f>SUM(G207:G209)</f>
        <v>8.1077343458612321E-3</v>
      </c>
      <c r="H206" s="156">
        <f>SUM(H207:H209)</f>
        <v>3.3557152324668804E-3</v>
      </c>
      <c r="I206" s="157">
        <f>SUM(I207:I209)</f>
        <v>2.1676096574816794E-2</v>
      </c>
      <c r="J206" s="154">
        <f t="shared" si="101"/>
        <v>5.0523185723151835E-2</v>
      </c>
      <c r="K206" s="155">
        <f t="shared" ref="K206:P206" si="117">SUM(K207:K209)</f>
        <v>1.8967225799626921E-2</v>
      </c>
      <c r="L206" s="156">
        <f t="shared" si="117"/>
        <v>2.6494352045310192E-2</v>
      </c>
      <c r="M206" s="156">
        <f t="shared" si="117"/>
        <v>5.0616078782147267E-3</v>
      </c>
      <c r="N206" s="152">
        <f t="shared" si="117"/>
        <v>0</v>
      </c>
      <c r="O206" s="153">
        <f t="shared" si="117"/>
        <v>5.6966002909840371E-2</v>
      </c>
      <c r="P206" s="154">
        <f t="shared" si="117"/>
        <v>3.0036467840441217E-2</v>
      </c>
      <c r="Q206" s="325"/>
      <c r="R206" s="326"/>
    </row>
    <row r="207" spans="2:18" s="1" customFormat="1" x14ac:dyDescent="0.25">
      <c r="B207" s="259" t="s">
        <v>513</v>
      </c>
      <c r="C207" s="260" t="s">
        <v>350</v>
      </c>
      <c r="D207" s="335">
        <v>0.156</v>
      </c>
      <c r="E207" s="415">
        <f>IFERROR($D207*E$237/100, 0)</f>
        <v>4.7285703991692025E-3</v>
      </c>
      <c r="F207" s="206">
        <f t="shared" si="105"/>
        <v>2.9373688635742076E-2</v>
      </c>
      <c r="G207" s="210">
        <f t="shared" ref="G207:I209" si="118">IFERROR($D207*G$237/100, 0)</f>
        <v>7.1864008974679107E-3</v>
      </c>
      <c r="H207" s="211">
        <f t="shared" si="118"/>
        <v>2.9743839560501893E-3</v>
      </c>
      <c r="I207" s="212">
        <f t="shared" si="118"/>
        <v>1.9212903782223976E-2</v>
      </c>
      <c r="J207" s="206">
        <f t="shared" si="101"/>
        <v>4.4781914618248223E-2</v>
      </c>
      <c r="K207" s="210">
        <f t="shared" ref="K207:P209" si="119">IFERROR($D207*K$237/100, 0)</f>
        <v>1.6811859231487498E-2</v>
      </c>
      <c r="L207" s="211">
        <f t="shared" si="119"/>
        <v>2.3483630221979489E-2</v>
      </c>
      <c r="M207" s="211">
        <f t="shared" si="119"/>
        <v>4.4864251647812351E-3</v>
      </c>
      <c r="N207" s="208">
        <f t="shared" si="119"/>
        <v>0</v>
      </c>
      <c r="O207" s="209">
        <f t="shared" si="119"/>
        <v>5.0492593488267602E-2</v>
      </c>
      <c r="P207" s="206">
        <f t="shared" si="119"/>
        <v>2.6623232858572897E-2</v>
      </c>
      <c r="Q207" s="336"/>
      <c r="R207" s="337"/>
    </row>
    <row r="208" spans="2:18" s="1" customFormat="1" x14ac:dyDescent="0.25">
      <c r="B208" s="262" t="s">
        <v>514</v>
      </c>
      <c r="C208" s="260" t="s">
        <v>352</v>
      </c>
      <c r="D208" s="342">
        <v>0</v>
      </c>
      <c r="E208" s="415">
        <f>IFERROR($D208*E$237/100, 0)</f>
        <v>0</v>
      </c>
      <c r="F208" s="206">
        <f t="shared" si="105"/>
        <v>0</v>
      </c>
      <c r="G208" s="210">
        <f t="shared" si="118"/>
        <v>0</v>
      </c>
      <c r="H208" s="211">
        <f t="shared" si="118"/>
        <v>0</v>
      </c>
      <c r="I208" s="212">
        <f t="shared" si="118"/>
        <v>0</v>
      </c>
      <c r="J208" s="206">
        <f t="shared" si="101"/>
        <v>0</v>
      </c>
      <c r="K208" s="210">
        <f t="shared" si="119"/>
        <v>0</v>
      </c>
      <c r="L208" s="211">
        <f t="shared" si="119"/>
        <v>0</v>
      </c>
      <c r="M208" s="211">
        <f t="shared" si="119"/>
        <v>0</v>
      </c>
      <c r="N208" s="208">
        <f t="shared" si="119"/>
        <v>0</v>
      </c>
      <c r="O208" s="209">
        <f t="shared" si="119"/>
        <v>0</v>
      </c>
      <c r="P208" s="206">
        <f t="shared" si="119"/>
        <v>0</v>
      </c>
      <c r="Q208" s="336"/>
      <c r="R208" s="337"/>
    </row>
    <row r="209" spans="2:18" s="1" customFormat="1" ht="15.75" thickBot="1" x14ac:dyDescent="0.3">
      <c r="B209" s="262" t="s">
        <v>515</v>
      </c>
      <c r="C209" s="250" t="s">
        <v>354</v>
      </c>
      <c r="D209" s="335">
        <v>0.02</v>
      </c>
      <c r="E209" s="415">
        <f>IFERROR($D209*E$237/100, 0)</f>
        <v>6.0622697425246198E-4</v>
      </c>
      <c r="F209" s="206">
        <f t="shared" si="105"/>
        <v>3.7658575174028307E-3</v>
      </c>
      <c r="G209" s="210">
        <f t="shared" si="118"/>
        <v>9.2133344839332191E-4</v>
      </c>
      <c r="H209" s="211">
        <f t="shared" si="118"/>
        <v>3.8133127641669097E-4</v>
      </c>
      <c r="I209" s="212">
        <f t="shared" si="118"/>
        <v>2.4631927925928181E-3</v>
      </c>
      <c r="J209" s="206">
        <f t="shared" si="101"/>
        <v>5.741271104903618E-3</v>
      </c>
      <c r="K209" s="210">
        <f t="shared" si="119"/>
        <v>2.1553665681394228E-3</v>
      </c>
      <c r="L209" s="211">
        <f t="shared" si="119"/>
        <v>3.0107218233307036E-3</v>
      </c>
      <c r="M209" s="211">
        <f t="shared" si="119"/>
        <v>5.7518271343349168E-4</v>
      </c>
      <c r="N209" s="208">
        <f t="shared" si="119"/>
        <v>0</v>
      </c>
      <c r="O209" s="209">
        <f t="shared" si="119"/>
        <v>6.47340942157277E-3</v>
      </c>
      <c r="P209" s="206">
        <f t="shared" si="119"/>
        <v>3.4132349818683204E-3</v>
      </c>
      <c r="Q209" s="336"/>
      <c r="R209" s="337"/>
    </row>
    <row r="210" spans="2:18" s="4" customFormat="1" x14ac:dyDescent="0.25">
      <c r="B210" s="150" t="s">
        <v>183</v>
      </c>
      <c r="C210" s="204" t="s">
        <v>356</v>
      </c>
      <c r="D210" s="338">
        <f>SUM(D211:D212)</f>
        <v>0</v>
      </c>
      <c r="E210" s="414">
        <f>SUM(E211:E212)</f>
        <v>0</v>
      </c>
      <c r="F210" s="154">
        <f t="shared" si="105"/>
        <v>0</v>
      </c>
      <c r="G210" s="155">
        <f>SUM(G211:G212)</f>
        <v>0</v>
      </c>
      <c r="H210" s="156">
        <f>SUM(H211:H212)</f>
        <v>0</v>
      </c>
      <c r="I210" s="157">
        <f>SUM(I211:I212)</f>
        <v>0</v>
      </c>
      <c r="J210" s="154">
        <f t="shared" si="101"/>
        <v>0</v>
      </c>
      <c r="K210" s="155">
        <f t="shared" ref="K210:P210" si="120">SUM(K211:K212)</f>
        <v>0</v>
      </c>
      <c r="L210" s="156">
        <f t="shared" si="120"/>
        <v>0</v>
      </c>
      <c r="M210" s="156">
        <f t="shared" si="120"/>
        <v>0</v>
      </c>
      <c r="N210" s="152">
        <f t="shared" si="120"/>
        <v>0</v>
      </c>
      <c r="O210" s="153">
        <f t="shared" si="120"/>
        <v>0</v>
      </c>
      <c r="P210" s="154">
        <f t="shared" si="120"/>
        <v>0</v>
      </c>
      <c r="Q210" s="325"/>
      <c r="R210" s="326"/>
    </row>
    <row r="211" spans="2:18" s="1" customFormat="1" x14ac:dyDescent="0.25">
      <c r="B211" s="259" t="s">
        <v>516</v>
      </c>
      <c r="C211" s="260" t="s">
        <v>358</v>
      </c>
      <c r="D211" s="335">
        <v>0</v>
      </c>
      <c r="E211" s="415">
        <f>IFERROR($D211*E$237/100, 0)</f>
        <v>0</v>
      </c>
      <c r="F211" s="206">
        <f t="shared" si="105"/>
        <v>0</v>
      </c>
      <c r="G211" s="210">
        <f t="shared" ref="G211:I212" si="121">IFERROR($D211*G$237/100, 0)</f>
        <v>0</v>
      </c>
      <c r="H211" s="211">
        <f t="shared" si="121"/>
        <v>0</v>
      </c>
      <c r="I211" s="212">
        <f t="shared" si="121"/>
        <v>0</v>
      </c>
      <c r="J211" s="206">
        <f t="shared" si="101"/>
        <v>0</v>
      </c>
      <c r="K211" s="210">
        <f t="shared" ref="K211:P212" si="122">IFERROR($D211*K$237/100, 0)</f>
        <v>0</v>
      </c>
      <c r="L211" s="211">
        <f t="shared" si="122"/>
        <v>0</v>
      </c>
      <c r="M211" s="211">
        <f t="shared" si="122"/>
        <v>0</v>
      </c>
      <c r="N211" s="208">
        <f t="shared" si="122"/>
        <v>0</v>
      </c>
      <c r="O211" s="209">
        <f t="shared" si="122"/>
        <v>0</v>
      </c>
      <c r="P211" s="206">
        <f t="shared" si="122"/>
        <v>0</v>
      </c>
      <c r="Q211" s="336"/>
      <c r="R211" s="337"/>
    </row>
    <row r="212" spans="2:18" s="1" customFormat="1" ht="15.75" thickBot="1" x14ac:dyDescent="0.3">
      <c r="B212" s="262" t="s">
        <v>517</v>
      </c>
      <c r="C212" s="250" t="s">
        <v>518</v>
      </c>
      <c r="D212" s="335">
        <v>0</v>
      </c>
      <c r="E212" s="415">
        <f>IFERROR($D212*E$237/100, 0)</f>
        <v>0</v>
      </c>
      <c r="F212" s="206">
        <f t="shared" si="105"/>
        <v>0</v>
      </c>
      <c r="G212" s="210">
        <f t="shared" si="121"/>
        <v>0</v>
      </c>
      <c r="H212" s="211">
        <f t="shared" si="121"/>
        <v>0</v>
      </c>
      <c r="I212" s="212">
        <f t="shared" si="121"/>
        <v>0</v>
      </c>
      <c r="J212" s="206">
        <f t="shared" si="101"/>
        <v>0</v>
      </c>
      <c r="K212" s="210">
        <f t="shared" si="122"/>
        <v>0</v>
      </c>
      <c r="L212" s="211">
        <f t="shared" si="122"/>
        <v>0</v>
      </c>
      <c r="M212" s="211">
        <f t="shared" si="122"/>
        <v>0</v>
      </c>
      <c r="N212" s="208">
        <f t="shared" si="122"/>
        <v>0</v>
      </c>
      <c r="O212" s="209">
        <f t="shared" si="122"/>
        <v>0</v>
      </c>
      <c r="P212" s="206">
        <f t="shared" si="122"/>
        <v>0</v>
      </c>
      <c r="Q212" s="336"/>
      <c r="R212" s="337"/>
    </row>
    <row r="213" spans="2:18" s="4" customFormat="1" x14ac:dyDescent="0.25">
      <c r="B213" s="150" t="s">
        <v>185</v>
      </c>
      <c r="C213" s="204" t="s">
        <v>362</v>
      </c>
      <c r="D213" s="338">
        <f>SUM(D214:D228)</f>
        <v>35.197230000000019</v>
      </c>
      <c r="E213" s="414">
        <f>SUM(E214:E228)</f>
        <v>1.0668755122483995</v>
      </c>
      <c r="F213" s="154">
        <f t="shared" si="105"/>
        <v>6.6273876593628245</v>
      </c>
      <c r="G213" s="155">
        <f>SUM(G214:G228)</f>
        <v>1.6214192644896448</v>
      </c>
      <c r="H213" s="156">
        <f>SUM(H214:H228)</f>
        <v>0.67109023211159269</v>
      </c>
      <c r="I213" s="157">
        <f>SUM(I214:I228)</f>
        <v>4.3348781627615871</v>
      </c>
      <c r="J213" s="154">
        <f t="shared" si="101"/>
        <v>10.103841978582343</v>
      </c>
      <c r="K213" s="155">
        <f t="shared" ref="K213:P213" si="123">SUM(K214:K228)</f>
        <v>3.7931466416556985</v>
      </c>
      <c r="L213" s="156">
        <f t="shared" si="123"/>
        <v>5.2984534240895096</v>
      </c>
      <c r="M213" s="156">
        <f t="shared" si="123"/>
        <v>1.0122419128371352</v>
      </c>
      <c r="N213" s="152">
        <f t="shared" si="123"/>
        <v>0</v>
      </c>
      <c r="O213" s="153">
        <f t="shared" si="123"/>
        <v>11.392304014763193</v>
      </c>
      <c r="P213" s="154">
        <f t="shared" si="123"/>
        <v>6.0068208350432579</v>
      </c>
      <c r="Q213" s="325"/>
      <c r="R213" s="326"/>
    </row>
    <row r="214" spans="2:18" s="1" customFormat="1" x14ac:dyDescent="0.25">
      <c r="B214" s="259" t="s">
        <v>519</v>
      </c>
      <c r="C214" s="260" t="s">
        <v>364</v>
      </c>
      <c r="D214" s="335">
        <v>3.3429600000000006</v>
      </c>
      <c r="E214" s="415">
        <f t="shared" ref="E214:E229" si="124">IFERROR($D214*E$237/100, 0)</f>
        <v>0.10132962629235052</v>
      </c>
      <c r="F214" s="206">
        <f t="shared" si="105"/>
        <v>0.62945555231884853</v>
      </c>
      <c r="G214" s="210">
        <f t="shared" ref="G214:I229" si="125">IFERROR($D214*G$237/100, 0)</f>
        <v>0.15399904323204699</v>
      </c>
      <c r="H214" s="211">
        <f t="shared" si="125"/>
        <v>6.3738760190497068E-2</v>
      </c>
      <c r="I214" s="212">
        <f t="shared" si="125"/>
        <v>0.41171774889630441</v>
      </c>
      <c r="J214" s="206">
        <f t="shared" si="101"/>
        <v>0.95964198264242995</v>
      </c>
      <c r="K214" s="210">
        <f t="shared" ref="K214:P223" si="126">IFERROR($D214*K$237/100, 0)</f>
        <v>0.36026521113136828</v>
      </c>
      <c r="L214" s="211">
        <f t="shared" si="126"/>
        <v>0.50323613132608047</v>
      </c>
      <c r="M214" s="211">
        <f t="shared" si="126"/>
        <v>9.6140640184981266E-2</v>
      </c>
      <c r="N214" s="208">
        <f t="shared" si="126"/>
        <v>0</v>
      </c>
      <c r="O214" s="209">
        <f t="shared" si="126"/>
        <v>1.0820174379970455</v>
      </c>
      <c r="P214" s="206">
        <f t="shared" si="126"/>
        <v>0.57051540074932605</v>
      </c>
      <c r="Q214" s="336"/>
      <c r="R214" s="337"/>
    </row>
    <row r="215" spans="2:18" s="1" customFormat="1" x14ac:dyDescent="0.25">
      <c r="B215" s="259" t="s">
        <v>520</v>
      </c>
      <c r="C215" s="260" t="s">
        <v>366</v>
      </c>
      <c r="D215" s="335">
        <v>0</v>
      </c>
      <c r="E215" s="415">
        <f t="shared" si="124"/>
        <v>0</v>
      </c>
      <c r="F215" s="206">
        <f t="shared" si="105"/>
        <v>0</v>
      </c>
      <c r="G215" s="210">
        <f t="shared" si="125"/>
        <v>0</v>
      </c>
      <c r="H215" s="211">
        <f t="shared" si="125"/>
        <v>0</v>
      </c>
      <c r="I215" s="212">
        <f t="shared" si="125"/>
        <v>0</v>
      </c>
      <c r="J215" s="206">
        <f t="shared" si="101"/>
        <v>0</v>
      </c>
      <c r="K215" s="210">
        <f t="shared" si="126"/>
        <v>0</v>
      </c>
      <c r="L215" s="211">
        <f t="shared" si="126"/>
        <v>0</v>
      </c>
      <c r="M215" s="211">
        <f t="shared" si="126"/>
        <v>0</v>
      </c>
      <c r="N215" s="208">
        <f t="shared" si="126"/>
        <v>0</v>
      </c>
      <c r="O215" s="209">
        <f t="shared" si="126"/>
        <v>0</v>
      </c>
      <c r="P215" s="206">
        <f t="shared" si="126"/>
        <v>0</v>
      </c>
      <c r="Q215" s="336"/>
      <c r="R215" s="337"/>
    </row>
    <row r="216" spans="2:18" s="1" customFormat="1" x14ac:dyDescent="0.25">
      <c r="B216" s="259" t="s">
        <v>521</v>
      </c>
      <c r="C216" s="260" t="s">
        <v>368</v>
      </c>
      <c r="D216" s="335">
        <v>0</v>
      </c>
      <c r="E216" s="415">
        <f t="shared" si="124"/>
        <v>0</v>
      </c>
      <c r="F216" s="206">
        <f t="shared" si="105"/>
        <v>0</v>
      </c>
      <c r="G216" s="210">
        <f t="shared" si="125"/>
        <v>0</v>
      </c>
      <c r="H216" s="211">
        <f t="shared" si="125"/>
        <v>0</v>
      </c>
      <c r="I216" s="212">
        <f t="shared" si="125"/>
        <v>0</v>
      </c>
      <c r="J216" s="206">
        <f t="shared" si="101"/>
        <v>0</v>
      </c>
      <c r="K216" s="210">
        <f t="shared" si="126"/>
        <v>0</v>
      </c>
      <c r="L216" s="211">
        <f t="shared" si="126"/>
        <v>0</v>
      </c>
      <c r="M216" s="211">
        <f t="shared" si="126"/>
        <v>0</v>
      </c>
      <c r="N216" s="208">
        <f t="shared" si="126"/>
        <v>0</v>
      </c>
      <c r="O216" s="209">
        <f t="shared" si="126"/>
        <v>0</v>
      </c>
      <c r="P216" s="206">
        <f t="shared" si="126"/>
        <v>0</v>
      </c>
      <c r="Q216" s="336"/>
      <c r="R216" s="337"/>
    </row>
    <row r="217" spans="2:18" s="1" customFormat="1" x14ac:dyDescent="0.25">
      <c r="B217" s="259" t="s">
        <v>522</v>
      </c>
      <c r="C217" s="260" t="s">
        <v>370</v>
      </c>
      <c r="D217" s="335">
        <v>0.40520999999999996</v>
      </c>
      <c r="E217" s="415">
        <f t="shared" si="124"/>
        <v>1.2282461611842004E-2</v>
      </c>
      <c r="F217" s="206">
        <f t="shared" si="105"/>
        <v>7.6298156231340036E-2</v>
      </c>
      <c r="G217" s="210">
        <f t="shared" si="125"/>
        <v>1.8666676331172895E-2</v>
      </c>
      <c r="H217" s="211">
        <f t="shared" si="125"/>
        <v>7.7259623258403663E-3</v>
      </c>
      <c r="I217" s="212">
        <f t="shared" si="125"/>
        <v>4.9905517574326784E-2</v>
      </c>
      <c r="J217" s="206">
        <f t="shared" si="101"/>
        <v>0.11632102322089974</v>
      </c>
      <c r="K217" s="210">
        <f t="shared" si="126"/>
        <v>4.3668804353788768E-2</v>
      </c>
      <c r="L217" s="211">
        <f t="shared" si="126"/>
        <v>6.0998729501591714E-2</v>
      </c>
      <c r="M217" s="211">
        <f t="shared" si="126"/>
        <v>1.1653489365519257E-2</v>
      </c>
      <c r="N217" s="208">
        <f t="shared" si="126"/>
        <v>0</v>
      </c>
      <c r="O217" s="209">
        <f t="shared" si="126"/>
        <v>0.1311545115857751</v>
      </c>
      <c r="P217" s="206">
        <f t="shared" si="126"/>
        <v>6.9153847350143099E-2</v>
      </c>
      <c r="Q217" s="336"/>
      <c r="R217" s="337"/>
    </row>
    <row r="218" spans="2:18" s="1" customFormat="1" x14ac:dyDescent="0.25">
      <c r="B218" s="259" t="s">
        <v>523</v>
      </c>
      <c r="C218" s="260" t="s">
        <v>372</v>
      </c>
      <c r="D218" s="335">
        <v>0</v>
      </c>
      <c r="E218" s="415">
        <f t="shared" si="124"/>
        <v>0</v>
      </c>
      <c r="F218" s="206">
        <f t="shared" si="105"/>
        <v>0</v>
      </c>
      <c r="G218" s="210">
        <f t="shared" si="125"/>
        <v>0</v>
      </c>
      <c r="H218" s="211">
        <f t="shared" si="125"/>
        <v>0</v>
      </c>
      <c r="I218" s="212">
        <f t="shared" si="125"/>
        <v>0</v>
      </c>
      <c r="J218" s="206">
        <f t="shared" si="101"/>
        <v>0</v>
      </c>
      <c r="K218" s="210">
        <f t="shared" si="126"/>
        <v>0</v>
      </c>
      <c r="L218" s="211">
        <f t="shared" si="126"/>
        <v>0</v>
      </c>
      <c r="M218" s="211">
        <f t="shared" si="126"/>
        <v>0</v>
      </c>
      <c r="N218" s="208">
        <f t="shared" si="126"/>
        <v>0</v>
      </c>
      <c r="O218" s="209">
        <f t="shared" si="126"/>
        <v>0</v>
      </c>
      <c r="P218" s="206">
        <f t="shared" si="126"/>
        <v>0</v>
      </c>
      <c r="Q218" s="336"/>
      <c r="R218" s="337"/>
    </row>
    <row r="219" spans="2:18" s="1" customFormat="1" x14ac:dyDescent="0.25">
      <c r="B219" s="259" t="s">
        <v>524</v>
      </c>
      <c r="C219" s="260" t="s">
        <v>374</v>
      </c>
      <c r="D219" s="335">
        <v>2.4535999999999993</v>
      </c>
      <c r="E219" s="415">
        <f t="shared" si="124"/>
        <v>7.4371925201292002E-2</v>
      </c>
      <c r="F219" s="206">
        <f t="shared" si="105"/>
        <v>0.46199540023497909</v>
      </c>
      <c r="G219" s="210">
        <f t="shared" si="125"/>
        <v>0.1130291874488927</v>
      </c>
      <c r="H219" s="211">
        <f t="shared" si="125"/>
        <v>4.6781720990799636E-2</v>
      </c>
      <c r="I219" s="212">
        <f t="shared" si="125"/>
        <v>0.30218449179528678</v>
      </c>
      <c r="J219" s="206">
        <f t="shared" si="101"/>
        <v>0.7043391391495758</v>
      </c>
      <c r="K219" s="210">
        <f t="shared" si="126"/>
        <v>0.26442037057934431</v>
      </c>
      <c r="L219" s="211">
        <f t="shared" si="126"/>
        <v>0.36935535328621066</v>
      </c>
      <c r="M219" s="211">
        <f t="shared" si="126"/>
        <v>7.0563415284020728E-2</v>
      </c>
      <c r="N219" s="208">
        <f t="shared" si="126"/>
        <v>0</v>
      </c>
      <c r="O219" s="209">
        <f t="shared" si="126"/>
        <v>0.79415786783854714</v>
      </c>
      <c r="P219" s="206">
        <f t="shared" si="126"/>
        <v>0.41873566757560537</v>
      </c>
      <c r="Q219" s="336"/>
      <c r="R219" s="337"/>
    </row>
    <row r="220" spans="2:18" s="1" customFormat="1" x14ac:dyDescent="0.25">
      <c r="B220" s="259" t="s">
        <v>525</v>
      </c>
      <c r="C220" s="260" t="s">
        <v>376</v>
      </c>
      <c r="D220" s="335">
        <v>0</v>
      </c>
      <c r="E220" s="415">
        <f t="shared" si="124"/>
        <v>0</v>
      </c>
      <c r="F220" s="206">
        <f t="shared" si="105"/>
        <v>0</v>
      </c>
      <c r="G220" s="210">
        <f t="shared" si="125"/>
        <v>0</v>
      </c>
      <c r="H220" s="211">
        <f t="shared" si="125"/>
        <v>0</v>
      </c>
      <c r="I220" s="212">
        <f t="shared" si="125"/>
        <v>0</v>
      </c>
      <c r="J220" s="206">
        <f t="shared" si="101"/>
        <v>0</v>
      </c>
      <c r="K220" s="210">
        <f t="shared" si="126"/>
        <v>0</v>
      </c>
      <c r="L220" s="211">
        <f t="shared" si="126"/>
        <v>0</v>
      </c>
      <c r="M220" s="211">
        <f t="shared" si="126"/>
        <v>0</v>
      </c>
      <c r="N220" s="208">
        <f t="shared" si="126"/>
        <v>0</v>
      </c>
      <c r="O220" s="209">
        <f t="shared" si="126"/>
        <v>0</v>
      </c>
      <c r="P220" s="206">
        <f t="shared" si="126"/>
        <v>0</v>
      </c>
      <c r="Q220" s="336"/>
      <c r="R220" s="337"/>
    </row>
    <row r="221" spans="2:18" s="1" customFormat="1" x14ac:dyDescent="0.25">
      <c r="B221" s="259" t="s">
        <v>526</v>
      </c>
      <c r="C221" s="260" t="s">
        <v>378</v>
      </c>
      <c r="D221" s="335">
        <v>0</v>
      </c>
      <c r="E221" s="415">
        <f t="shared" si="124"/>
        <v>0</v>
      </c>
      <c r="F221" s="206">
        <f t="shared" si="105"/>
        <v>0</v>
      </c>
      <c r="G221" s="210">
        <f t="shared" si="125"/>
        <v>0</v>
      </c>
      <c r="H221" s="211">
        <f t="shared" si="125"/>
        <v>0</v>
      </c>
      <c r="I221" s="212">
        <f t="shared" si="125"/>
        <v>0</v>
      </c>
      <c r="J221" s="206">
        <f t="shared" si="101"/>
        <v>0</v>
      </c>
      <c r="K221" s="210">
        <f t="shared" si="126"/>
        <v>0</v>
      </c>
      <c r="L221" s="211">
        <f t="shared" si="126"/>
        <v>0</v>
      </c>
      <c r="M221" s="211">
        <f t="shared" si="126"/>
        <v>0</v>
      </c>
      <c r="N221" s="208">
        <f t="shared" si="126"/>
        <v>0</v>
      </c>
      <c r="O221" s="209">
        <f t="shared" si="126"/>
        <v>0</v>
      </c>
      <c r="P221" s="206">
        <f t="shared" si="126"/>
        <v>0</v>
      </c>
      <c r="Q221" s="336"/>
      <c r="R221" s="337"/>
    </row>
    <row r="222" spans="2:18" s="1" customFormat="1" x14ac:dyDescent="0.25">
      <c r="B222" s="259" t="s">
        <v>527</v>
      </c>
      <c r="C222" s="260" t="s">
        <v>380</v>
      </c>
      <c r="D222" s="335">
        <v>0</v>
      </c>
      <c r="E222" s="415">
        <f t="shared" si="124"/>
        <v>0</v>
      </c>
      <c r="F222" s="206">
        <f t="shared" si="105"/>
        <v>0</v>
      </c>
      <c r="G222" s="210">
        <f t="shared" si="125"/>
        <v>0</v>
      </c>
      <c r="H222" s="211">
        <f t="shared" si="125"/>
        <v>0</v>
      </c>
      <c r="I222" s="212">
        <f t="shared" si="125"/>
        <v>0</v>
      </c>
      <c r="J222" s="206">
        <f t="shared" si="101"/>
        <v>0</v>
      </c>
      <c r="K222" s="210">
        <f t="shared" si="126"/>
        <v>0</v>
      </c>
      <c r="L222" s="211">
        <f t="shared" si="126"/>
        <v>0</v>
      </c>
      <c r="M222" s="211">
        <f t="shared" si="126"/>
        <v>0</v>
      </c>
      <c r="N222" s="208">
        <f t="shared" si="126"/>
        <v>0</v>
      </c>
      <c r="O222" s="209">
        <f t="shared" si="126"/>
        <v>0</v>
      </c>
      <c r="P222" s="206">
        <f t="shared" si="126"/>
        <v>0</v>
      </c>
      <c r="Q222" s="336"/>
      <c r="R222" s="337"/>
    </row>
    <row r="223" spans="2:18" s="1" customFormat="1" x14ac:dyDescent="0.25">
      <c r="B223" s="259" t="s">
        <v>528</v>
      </c>
      <c r="C223" s="260" t="s">
        <v>382</v>
      </c>
      <c r="D223" s="335">
        <v>0</v>
      </c>
      <c r="E223" s="415">
        <f t="shared" si="124"/>
        <v>0</v>
      </c>
      <c r="F223" s="206">
        <f t="shared" si="105"/>
        <v>0</v>
      </c>
      <c r="G223" s="210">
        <f t="shared" si="125"/>
        <v>0</v>
      </c>
      <c r="H223" s="211">
        <f t="shared" si="125"/>
        <v>0</v>
      </c>
      <c r="I223" s="212">
        <f t="shared" si="125"/>
        <v>0</v>
      </c>
      <c r="J223" s="206">
        <f t="shared" si="101"/>
        <v>0</v>
      </c>
      <c r="K223" s="210">
        <f t="shared" si="126"/>
        <v>0</v>
      </c>
      <c r="L223" s="211">
        <f t="shared" si="126"/>
        <v>0</v>
      </c>
      <c r="M223" s="211">
        <f t="shared" si="126"/>
        <v>0</v>
      </c>
      <c r="N223" s="208">
        <f t="shared" si="126"/>
        <v>0</v>
      </c>
      <c r="O223" s="209">
        <f t="shared" si="126"/>
        <v>0</v>
      </c>
      <c r="P223" s="206">
        <f t="shared" si="126"/>
        <v>0</v>
      </c>
      <c r="Q223" s="336"/>
      <c r="R223" s="337"/>
    </row>
    <row r="224" spans="2:18" s="1" customFormat="1" x14ac:dyDescent="0.25">
      <c r="B224" s="259" t="s">
        <v>529</v>
      </c>
      <c r="C224" s="260" t="s">
        <v>384</v>
      </c>
      <c r="D224" s="335">
        <v>0</v>
      </c>
      <c r="E224" s="415">
        <f t="shared" si="124"/>
        <v>0</v>
      </c>
      <c r="F224" s="206">
        <f t="shared" si="105"/>
        <v>0</v>
      </c>
      <c r="G224" s="210">
        <f t="shared" si="125"/>
        <v>0</v>
      </c>
      <c r="H224" s="211">
        <f t="shared" si="125"/>
        <v>0</v>
      </c>
      <c r="I224" s="212">
        <f t="shared" si="125"/>
        <v>0</v>
      </c>
      <c r="J224" s="206">
        <f t="shared" si="101"/>
        <v>0</v>
      </c>
      <c r="K224" s="210">
        <f t="shared" ref="K224:P229" si="127">IFERROR($D224*K$237/100, 0)</f>
        <v>0</v>
      </c>
      <c r="L224" s="211">
        <f t="shared" si="127"/>
        <v>0</v>
      </c>
      <c r="M224" s="211">
        <f t="shared" si="127"/>
        <v>0</v>
      </c>
      <c r="N224" s="208">
        <f t="shared" si="127"/>
        <v>0</v>
      </c>
      <c r="O224" s="209">
        <f t="shared" si="127"/>
        <v>0</v>
      </c>
      <c r="P224" s="206">
        <f t="shared" si="127"/>
        <v>0</v>
      </c>
      <c r="Q224" s="336"/>
      <c r="R224" s="337"/>
    </row>
    <row r="225" spans="2:18" s="1" customFormat="1" x14ac:dyDescent="0.25">
      <c r="B225" s="259" t="s">
        <v>530</v>
      </c>
      <c r="C225" s="260" t="s">
        <v>386</v>
      </c>
      <c r="D225" s="335">
        <v>1.9893300000000007</v>
      </c>
      <c r="E225" s="415">
        <f t="shared" si="124"/>
        <v>6.0299275334482524E-2</v>
      </c>
      <c r="F225" s="206">
        <f t="shared" si="105"/>
        <v>0.37457666675474877</v>
      </c>
      <c r="G225" s="210">
        <f t="shared" si="125"/>
        <v>9.1641813444614376E-2</v>
      </c>
      <c r="H225" s="211">
        <f t="shared" si="125"/>
        <v>3.7929687405700803E-2</v>
      </c>
      <c r="I225" s="212">
        <f t="shared" si="125"/>
        <v>0.24500516590443361</v>
      </c>
      <c r="J225" s="206">
        <f t="shared" si="101"/>
        <v>0.57106414235589587</v>
      </c>
      <c r="K225" s="210">
        <f t="shared" si="127"/>
        <v>0.21438676874983997</v>
      </c>
      <c r="L225" s="211">
        <f t="shared" si="127"/>
        <v>0.29946596224032357</v>
      </c>
      <c r="M225" s="211">
        <f t="shared" si="127"/>
        <v>5.7211411365732406E-2</v>
      </c>
      <c r="N225" s="208">
        <f t="shared" si="127"/>
        <v>0</v>
      </c>
      <c r="O225" s="209">
        <f t="shared" si="127"/>
        <v>0.64388737823086817</v>
      </c>
      <c r="P225" s="206">
        <f t="shared" si="127"/>
        <v>0.33950253732400543</v>
      </c>
      <c r="Q225" s="336"/>
      <c r="R225" s="337"/>
    </row>
    <row r="226" spans="2:18" s="1" customFormat="1" x14ac:dyDescent="0.25">
      <c r="B226" s="259" t="s">
        <v>531</v>
      </c>
      <c r="C226" s="260" t="s">
        <v>388</v>
      </c>
      <c r="D226" s="335">
        <v>0</v>
      </c>
      <c r="E226" s="415">
        <f t="shared" si="124"/>
        <v>0</v>
      </c>
      <c r="F226" s="206">
        <f t="shared" si="105"/>
        <v>0</v>
      </c>
      <c r="G226" s="210">
        <f t="shared" si="125"/>
        <v>0</v>
      </c>
      <c r="H226" s="211">
        <f t="shared" si="125"/>
        <v>0</v>
      </c>
      <c r="I226" s="212">
        <f t="shared" si="125"/>
        <v>0</v>
      </c>
      <c r="J226" s="206">
        <f t="shared" si="101"/>
        <v>0</v>
      </c>
      <c r="K226" s="210">
        <f t="shared" si="127"/>
        <v>0</v>
      </c>
      <c r="L226" s="211">
        <f t="shared" si="127"/>
        <v>0</v>
      </c>
      <c r="M226" s="211">
        <f t="shared" si="127"/>
        <v>0</v>
      </c>
      <c r="N226" s="208">
        <f t="shared" si="127"/>
        <v>0</v>
      </c>
      <c r="O226" s="209">
        <f t="shared" si="127"/>
        <v>0</v>
      </c>
      <c r="P226" s="206">
        <f t="shared" si="127"/>
        <v>0</v>
      </c>
      <c r="Q226" s="336"/>
      <c r="R226" s="337"/>
    </row>
    <row r="227" spans="2:18" s="1" customFormat="1" x14ac:dyDescent="0.25">
      <c r="B227" s="262" t="s">
        <v>532</v>
      </c>
      <c r="C227" s="250" t="s">
        <v>533</v>
      </c>
      <c r="D227" s="335">
        <v>0</v>
      </c>
      <c r="E227" s="415">
        <f t="shared" si="124"/>
        <v>0</v>
      </c>
      <c r="F227" s="206">
        <f t="shared" si="105"/>
        <v>0</v>
      </c>
      <c r="G227" s="210">
        <f t="shared" si="125"/>
        <v>0</v>
      </c>
      <c r="H227" s="211">
        <f t="shared" si="125"/>
        <v>0</v>
      </c>
      <c r="I227" s="212">
        <f t="shared" si="125"/>
        <v>0</v>
      </c>
      <c r="J227" s="206">
        <f t="shared" si="101"/>
        <v>0</v>
      </c>
      <c r="K227" s="210">
        <f t="shared" si="127"/>
        <v>0</v>
      </c>
      <c r="L227" s="211">
        <f t="shared" si="127"/>
        <v>0</v>
      </c>
      <c r="M227" s="211">
        <f t="shared" si="127"/>
        <v>0</v>
      </c>
      <c r="N227" s="208">
        <f t="shared" si="127"/>
        <v>0</v>
      </c>
      <c r="O227" s="209">
        <f t="shared" si="127"/>
        <v>0</v>
      </c>
      <c r="P227" s="206">
        <f t="shared" si="127"/>
        <v>0</v>
      </c>
      <c r="Q227" s="336"/>
      <c r="R227" s="337"/>
    </row>
    <row r="228" spans="2:18" s="1" customFormat="1" ht="15.75" thickBot="1" x14ac:dyDescent="0.3">
      <c r="B228" s="282" t="s">
        <v>534</v>
      </c>
      <c r="C228" s="283" t="s">
        <v>390</v>
      </c>
      <c r="D228" s="335">
        <v>27.006130000000017</v>
      </c>
      <c r="E228" s="415">
        <f t="shared" si="124"/>
        <v>0.81859222380843244</v>
      </c>
      <c r="F228" s="206">
        <f t="shared" si="105"/>
        <v>5.0850618838229078</v>
      </c>
      <c r="G228" s="210">
        <f t="shared" si="125"/>
        <v>1.2440825440329177</v>
      </c>
      <c r="H228" s="211">
        <f t="shared" si="125"/>
        <v>0.5149141011987548</v>
      </c>
      <c r="I228" s="212">
        <f t="shared" si="125"/>
        <v>3.3260652385912355</v>
      </c>
      <c r="J228" s="206">
        <f t="shared" si="101"/>
        <v>7.752475691213542</v>
      </c>
      <c r="K228" s="210">
        <f t="shared" si="127"/>
        <v>2.9104054868413574</v>
      </c>
      <c r="L228" s="211">
        <f t="shared" si="127"/>
        <v>4.0653972477353033</v>
      </c>
      <c r="M228" s="211">
        <f t="shared" si="127"/>
        <v>0.77667295663688152</v>
      </c>
      <c r="N228" s="208">
        <f t="shared" si="127"/>
        <v>0</v>
      </c>
      <c r="O228" s="209">
        <f t="shared" si="127"/>
        <v>8.7410868191109561</v>
      </c>
      <c r="P228" s="206">
        <f t="shared" si="127"/>
        <v>4.6089133820441779</v>
      </c>
      <c r="Q228" s="336"/>
      <c r="R228" s="337"/>
    </row>
    <row r="229" spans="2:18" s="4" customFormat="1" ht="15.75" thickBot="1" x14ac:dyDescent="0.3">
      <c r="B229" s="150" t="s">
        <v>187</v>
      </c>
      <c r="C229" s="204" t="s">
        <v>392</v>
      </c>
      <c r="D229" s="421">
        <v>0.50285000000000013</v>
      </c>
      <c r="E229" s="414">
        <f t="shared" si="124"/>
        <v>1.5242061700142528E-2</v>
      </c>
      <c r="F229" s="154">
        <f t="shared" si="105"/>
        <v>9.4683072631300685E-2</v>
      </c>
      <c r="G229" s="155">
        <f t="shared" si="125"/>
        <v>2.3164626226229102E-2</v>
      </c>
      <c r="H229" s="156">
        <f t="shared" si="125"/>
        <v>9.5876216173066547E-3</v>
      </c>
      <c r="I229" s="157">
        <f t="shared" si="125"/>
        <v>6.1930824787764932E-2</v>
      </c>
      <c r="J229" s="154">
        <f t="shared" si="101"/>
        <v>0.14434990875503925</v>
      </c>
      <c r="K229" s="155">
        <f t="shared" si="127"/>
        <v>5.4191303939445455E-2</v>
      </c>
      <c r="L229" s="156">
        <f t="shared" si="127"/>
        <v>7.5697073443092233E-2</v>
      </c>
      <c r="M229" s="156">
        <f t="shared" si="127"/>
        <v>1.4461531372501566E-2</v>
      </c>
      <c r="N229" s="152">
        <f t="shared" si="127"/>
        <v>0</v>
      </c>
      <c r="O229" s="422">
        <f t="shared" si="127"/>
        <v>0.16275769638189339</v>
      </c>
      <c r="P229" s="154">
        <f t="shared" si="127"/>
        <v>8.5817260531624265E-2</v>
      </c>
      <c r="Q229" s="325"/>
      <c r="R229" s="326"/>
    </row>
    <row r="230" spans="2:18" s="4" customFormat="1" x14ac:dyDescent="0.25">
      <c r="B230" s="150" t="s">
        <v>189</v>
      </c>
      <c r="C230" s="204" t="s">
        <v>394</v>
      </c>
      <c r="D230" s="338">
        <f>SUM(D231:D235)</f>
        <v>6.0403600000000024</v>
      </c>
      <c r="E230" s="414">
        <f>SUM(E231:E235)</f>
        <v>0.18309145830978013</v>
      </c>
      <c r="F230" s="154">
        <f t="shared" si="105"/>
        <v>1.1373567556909685</v>
      </c>
      <c r="G230" s="155">
        <f>SUM(G231:G235)</f>
        <v>0.27825928541685441</v>
      </c>
      <c r="H230" s="156">
        <f>SUM(H231:H235)</f>
        <v>0.11516890944081622</v>
      </c>
      <c r="I230" s="157">
        <f>SUM(I231:I235)</f>
        <v>0.74392856083329795</v>
      </c>
      <c r="J230" s="154">
        <f t="shared" si="101"/>
        <v>1.7339672165607816</v>
      </c>
      <c r="K230" s="155">
        <f t="shared" ref="K230:P230" si="128">SUM(K231:K235)</f>
        <v>0.65095950017633242</v>
      </c>
      <c r="L230" s="156">
        <f t="shared" si="128"/>
        <v>0.9092921836386928</v>
      </c>
      <c r="M230" s="156">
        <f t="shared" si="128"/>
        <v>0.17371553274575635</v>
      </c>
      <c r="N230" s="152">
        <f t="shared" si="128"/>
        <v>0</v>
      </c>
      <c r="O230" s="153">
        <f t="shared" si="128"/>
        <v>1.9550861666845654</v>
      </c>
      <c r="P230" s="154">
        <f t="shared" si="128"/>
        <v>1.0308584027539067</v>
      </c>
      <c r="Q230" s="325"/>
      <c r="R230" s="326"/>
    </row>
    <row r="231" spans="2:18" s="1" customFormat="1" x14ac:dyDescent="0.25">
      <c r="B231" s="167" t="s">
        <v>535</v>
      </c>
      <c r="C231" s="357" t="s">
        <v>396</v>
      </c>
      <c r="D231" s="335">
        <v>0</v>
      </c>
      <c r="E231" s="415">
        <f>IFERROR($D231*E$237/100, 0)</f>
        <v>0</v>
      </c>
      <c r="F231" s="206">
        <f t="shared" si="105"/>
        <v>0</v>
      </c>
      <c r="G231" s="210">
        <f t="shared" ref="G231:I235" si="129">IFERROR($D231*G$237/100, 0)</f>
        <v>0</v>
      </c>
      <c r="H231" s="211">
        <f t="shared" si="129"/>
        <v>0</v>
      </c>
      <c r="I231" s="212">
        <f t="shared" si="129"/>
        <v>0</v>
      </c>
      <c r="J231" s="206">
        <f t="shared" si="101"/>
        <v>0</v>
      </c>
      <c r="K231" s="210">
        <f t="shared" ref="K231:P235" si="130">IFERROR($D231*K$237/100, 0)</f>
        <v>0</v>
      </c>
      <c r="L231" s="211">
        <f t="shared" si="130"/>
        <v>0</v>
      </c>
      <c r="M231" s="211">
        <f t="shared" si="130"/>
        <v>0</v>
      </c>
      <c r="N231" s="208">
        <f t="shared" si="130"/>
        <v>0</v>
      </c>
      <c r="O231" s="209">
        <f t="shared" si="130"/>
        <v>0</v>
      </c>
      <c r="P231" s="206">
        <f t="shared" si="130"/>
        <v>0</v>
      </c>
      <c r="Q231" s="336"/>
      <c r="R231" s="337"/>
    </row>
    <row r="232" spans="2:18" s="1" customFormat="1" x14ac:dyDescent="0.25">
      <c r="B232" s="167" t="s">
        <v>536</v>
      </c>
      <c r="C232" s="357" t="s">
        <v>450</v>
      </c>
      <c r="D232" s="335">
        <v>0.18633000000000002</v>
      </c>
      <c r="E232" s="415">
        <f>IFERROR($D232*E$237/100, 0)</f>
        <v>5.647913605623063E-3</v>
      </c>
      <c r="F232" s="206">
        <f t="shared" si="105"/>
        <v>3.5084611560883473E-2</v>
      </c>
      <c r="G232" s="210">
        <f t="shared" si="129"/>
        <v>8.583603071956384E-3</v>
      </c>
      <c r="H232" s="211">
        <f t="shared" si="129"/>
        <v>3.5526728367361016E-3</v>
      </c>
      <c r="I232" s="212">
        <f t="shared" si="129"/>
        <v>2.2948335652190989E-2</v>
      </c>
      <c r="J232" s="206">
        <f t="shared" si="101"/>
        <v>5.3488552248834566E-2</v>
      </c>
      <c r="K232" s="210">
        <f t="shared" si="130"/>
        <v>2.0080472632070932E-2</v>
      </c>
      <c r="L232" s="211">
        <f t="shared" si="130"/>
        <v>2.8049389867060504E-2</v>
      </c>
      <c r="M232" s="211">
        <f t="shared" si="130"/>
        <v>5.3586897497031249E-3</v>
      </c>
      <c r="N232" s="208">
        <f t="shared" si="130"/>
        <v>0</v>
      </c>
      <c r="O232" s="209">
        <f t="shared" si="130"/>
        <v>6.0309518876082713E-2</v>
      </c>
      <c r="P232" s="206">
        <f t="shared" si="130"/>
        <v>3.1799403708576209E-2</v>
      </c>
      <c r="Q232" s="336"/>
      <c r="R232" s="337"/>
    </row>
    <row r="233" spans="2:18" s="1" customFormat="1" x14ac:dyDescent="0.25">
      <c r="B233" s="259" t="s">
        <v>537</v>
      </c>
      <c r="C233" s="260" t="s">
        <v>400</v>
      </c>
      <c r="D233" s="335">
        <v>0</v>
      </c>
      <c r="E233" s="415">
        <f>IFERROR($D233*E$237/100, 0)</f>
        <v>0</v>
      </c>
      <c r="F233" s="206">
        <f t="shared" si="105"/>
        <v>0</v>
      </c>
      <c r="G233" s="210">
        <f t="shared" si="129"/>
        <v>0</v>
      </c>
      <c r="H233" s="211">
        <f t="shared" si="129"/>
        <v>0</v>
      </c>
      <c r="I233" s="212">
        <f t="shared" si="129"/>
        <v>0</v>
      </c>
      <c r="J233" s="206">
        <f t="shared" si="101"/>
        <v>0</v>
      </c>
      <c r="K233" s="210">
        <f t="shared" si="130"/>
        <v>0</v>
      </c>
      <c r="L233" s="211">
        <f t="shared" si="130"/>
        <v>0</v>
      </c>
      <c r="M233" s="211">
        <f t="shared" si="130"/>
        <v>0</v>
      </c>
      <c r="N233" s="208">
        <f t="shared" si="130"/>
        <v>0</v>
      </c>
      <c r="O233" s="209">
        <f t="shared" si="130"/>
        <v>0</v>
      </c>
      <c r="P233" s="206">
        <f t="shared" si="130"/>
        <v>0</v>
      </c>
      <c r="Q233" s="336"/>
      <c r="R233" s="337"/>
    </row>
    <row r="234" spans="2:18" s="1" customFormat="1" x14ac:dyDescent="0.25">
      <c r="B234" s="259" t="s">
        <v>538</v>
      </c>
      <c r="C234" s="250" t="s">
        <v>402</v>
      </c>
      <c r="D234" s="342">
        <v>5.8540300000000025</v>
      </c>
      <c r="E234" s="423">
        <f>IFERROR($D234*E$237/100, 0)</f>
        <v>0.17744354470415707</v>
      </c>
      <c r="F234" s="216">
        <f t="shared" si="105"/>
        <v>1.1022721441300851</v>
      </c>
      <c r="G234" s="217">
        <f t="shared" si="129"/>
        <v>0.26967568234489803</v>
      </c>
      <c r="H234" s="218">
        <f t="shared" si="129"/>
        <v>0.11161623660408011</v>
      </c>
      <c r="I234" s="219">
        <f t="shared" si="129"/>
        <v>0.72098022518110694</v>
      </c>
      <c r="J234" s="216">
        <f t="shared" si="101"/>
        <v>1.6804786643119469</v>
      </c>
      <c r="K234" s="217">
        <f t="shared" si="130"/>
        <v>0.63087902754426151</v>
      </c>
      <c r="L234" s="218">
        <f t="shared" si="130"/>
        <v>0.88124279377163228</v>
      </c>
      <c r="M234" s="218">
        <f t="shared" si="130"/>
        <v>0.16835684299605322</v>
      </c>
      <c r="N234" s="214">
        <f t="shared" si="130"/>
        <v>0</v>
      </c>
      <c r="O234" s="215">
        <f t="shared" si="130"/>
        <v>1.8947766478084827</v>
      </c>
      <c r="P234" s="216">
        <f t="shared" si="130"/>
        <v>0.99905899904533058</v>
      </c>
      <c r="Q234" s="336"/>
      <c r="R234" s="337"/>
    </row>
    <row r="235" spans="2:18" s="1" customFormat="1" ht="15.75" thickBot="1" x14ac:dyDescent="0.3">
      <c r="B235" s="259" t="s">
        <v>539</v>
      </c>
      <c r="C235" s="250" t="s">
        <v>394</v>
      </c>
      <c r="D235" s="342">
        <v>0</v>
      </c>
      <c r="E235" s="423">
        <f>IFERROR($D235*E$237/100, 0)</f>
        <v>0</v>
      </c>
      <c r="F235" s="216">
        <f t="shared" si="105"/>
        <v>0</v>
      </c>
      <c r="G235" s="217">
        <f t="shared" si="129"/>
        <v>0</v>
      </c>
      <c r="H235" s="218">
        <f t="shared" si="129"/>
        <v>0</v>
      </c>
      <c r="I235" s="219">
        <f t="shared" si="129"/>
        <v>0</v>
      </c>
      <c r="J235" s="216">
        <f t="shared" si="101"/>
        <v>0</v>
      </c>
      <c r="K235" s="217">
        <f t="shared" si="130"/>
        <v>0</v>
      </c>
      <c r="L235" s="218">
        <f t="shared" si="130"/>
        <v>0</v>
      </c>
      <c r="M235" s="218">
        <f t="shared" si="130"/>
        <v>0</v>
      </c>
      <c r="N235" s="214">
        <f t="shared" si="130"/>
        <v>0</v>
      </c>
      <c r="O235" s="215">
        <f t="shared" si="130"/>
        <v>0</v>
      </c>
      <c r="P235" s="216">
        <f t="shared" si="130"/>
        <v>0</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3.0311348712623096</v>
      </c>
      <c r="F237" s="146">
        <f>SUM(G237:I237)</f>
        <v>18.829287587014154</v>
      </c>
      <c r="G237" s="147">
        <f>IFERROR((G25+G26)/($D$25+$D$26)*100, 0)</f>
        <v>4.6066672419666093</v>
      </c>
      <c r="H237" s="148">
        <f>IFERROR((H25+H26)/($D$25+$D$26)*100, 0)</f>
        <v>1.9066563820834548</v>
      </c>
      <c r="I237" s="149">
        <f>IFERROR((I25+I26)/($D$25+$D$26)*100, 0)</f>
        <v>12.315963962964089</v>
      </c>
      <c r="J237" s="146">
        <f>SUM(K237:M237)</f>
        <v>28.706355524518091</v>
      </c>
      <c r="K237" s="147">
        <f t="shared" ref="K237:P237" si="131">IFERROR((K25+K26)/($D$25+$D$26)*100, 0)</f>
        <v>10.776832840697114</v>
      </c>
      <c r="L237" s="148">
        <f t="shared" si="131"/>
        <v>15.053609116653519</v>
      </c>
      <c r="M237" s="148">
        <f t="shared" si="131"/>
        <v>2.8759135671674581</v>
      </c>
      <c r="N237" s="144">
        <f t="shared" si="131"/>
        <v>0</v>
      </c>
      <c r="O237" s="145">
        <f t="shared" si="131"/>
        <v>32.367047107863847</v>
      </c>
      <c r="P237" s="146">
        <f t="shared" si="131"/>
        <v>17.066174909341601</v>
      </c>
      <c r="Q237" s="336"/>
      <c r="R237" s="337"/>
    </row>
    <row r="238" spans="2:18" s="1" customFormat="1" ht="33.75" customHeight="1" thickBot="1" x14ac:dyDescent="0.3">
      <c r="B238" s="284" t="s">
        <v>214</v>
      </c>
      <c r="C238" s="424" t="s">
        <v>542</v>
      </c>
      <c r="D238" s="425">
        <f>ROUND((E238+F238+J238+N238+O238+P238),1)</f>
        <v>100</v>
      </c>
      <c r="E238" s="426">
        <f>VAS075_F_Verslovienetui22ApskaitosVeikla</f>
        <v>0</v>
      </c>
      <c r="F238" s="427">
        <f>SUM(G238:I238)</f>
        <v>21.472823300704921</v>
      </c>
      <c r="G238" s="428">
        <f>VAS075_F_Verslovienetui231GeriamojoVandens</f>
        <v>16.837915637522151</v>
      </c>
      <c r="H238" s="429">
        <f>VAS075_F_Verslovienetui232GeriamojoVandens</f>
        <v>0</v>
      </c>
      <c r="I238" s="430">
        <f>VAS075_F_Verslovienetui233GeriamojoVandens</f>
        <v>4.6349076631827684</v>
      </c>
      <c r="J238" s="427">
        <f>SUM(K238:M238)</f>
        <v>27.768446634363947</v>
      </c>
      <c r="K238" s="428">
        <f>VAS075_F_Verslovienetui241NuotekuSurinkimas</f>
        <v>0</v>
      </c>
      <c r="L238" s="429">
        <f>VAS075_F_Verslovienetui242NuotekuValymas</f>
        <v>27.768446634363947</v>
      </c>
      <c r="M238" s="429">
        <f>VAS075_F_Verslovienetui243NuotekuDumblo</f>
        <v>0</v>
      </c>
      <c r="N238" s="425">
        <f>VAS075_F_Verslovienetui25PavirsiniuNuoteku</f>
        <v>0</v>
      </c>
      <c r="O238" s="426">
        <f>VAS075_F_Verslovienetui26KitosReguliuojamosios</f>
        <v>13.81409285908663</v>
      </c>
      <c r="P238" s="427">
        <f>VAS075_F_Verslovienetui27KitosVeiklos</f>
        <v>36.944637205844494</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MBrd/yeX2sToFE4JYqIID+XHEphz+v41y+w3zllMwymPB04IGS8sox8/DxbnNYhFHHWTaLD3jxsdLLVkBSkhvA==" saltValue="AT29Kmrt0RdgeeCvCMsTnRrwSGpCaMoxtaZh5EcenOjFpb5XTA46Itm4FuNcwIXCqmYE6n/B7qD31oIDi1BnsQ=="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opLeftCell="A28" zoomScale="93" zoomScaleNormal="93" workbookViewId="0">
      <selection activeCell="D44" sqref="D44: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9335.2919999999995</v>
      </c>
      <c r="E11" s="444" t="s">
        <v>550</v>
      </c>
    </row>
    <row r="12" spans="1:5" s="1" customFormat="1" ht="46.5" customHeight="1" thickTop="1" thickBot="1" x14ac:dyDescent="0.3">
      <c r="B12" s="441" t="s">
        <v>51</v>
      </c>
      <c r="C12" s="442" t="s">
        <v>551</v>
      </c>
      <c r="D12" s="443">
        <f>SUM(D13:D14)+D18+D19</f>
        <v>1734.7087062574685</v>
      </c>
      <c r="E12" s="444" t="s">
        <v>552</v>
      </c>
    </row>
    <row r="13" spans="1:5" s="1" customFormat="1" ht="41.25" customHeight="1" thickTop="1" x14ac:dyDescent="0.25">
      <c r="B13" s="445" t="s">
        <v>96</v>
      </c>
      <c r="C13" s="446" t="s">
        <v>553</v>
      </c>
      <c r="D13" s="447">
        <f>VAS076_F_Paskirstomasil23IsViso</f>
        <v>778.0303611760429</v>
      </c>
      <c r="E13" s="448" t="s">
        <v>552</v>
      </c>
    </row>
    <row r="14" spans="1:5" s="1" customFormat="1" ht="40.5" customHeight="1" x14ac:dyDescent="0.25">
      <c r="B14" s="449" t="s">
        <v>102</v>
      </c>
      <c r="C14" s="450" t="s">
        <v>554</v>
      </c>
      <c r="D14" s="451">
        <f>VAS076_F_Paskirstomasil24IsViso</f>
        <v>956.67834508142562</v>
      </c>
      <c r="E14" s="452" t="s">
        <v>552</v>
      </c>
    </row>
    <row r="15" spans="1:5" s="1" customFormat="1" ht="40.5" customHeight="1" x14ac:dyDescent="0.25">
      <c r="B15" s="449" t="s">
        <v>104</v>
      </c>
      <c r="C15" s="450" t="s">
        <v>555</v>
      </c>
      <c r="D15" s="451">
        <f>VAS076_F_Paskirstomasil241NuotekuSurinkimas</f>
        <v>818.27287339047268</v>
      </c>
      <c r="E15" s="452" t="s">
        <v>552</v>
      </c>
    </row>
    <row r="16" spans="1:5" s="1" customFormat="1" ht="36.75" customHeight="1" x14ac:dyDescent="0.25">
      <c r="B16" s="449" t="s">
        <v>110</v>
      </c>
      <c r="C16" s="450" t="s">
        <v>556</v>
      </c>
      <c r="D16" s="451">
        <f>VAS076_F_Paskirstomasil242NuotekuValymas</f>
        <v>137.31816042797726</v>
      </c>
      <c r="E16" s="452" t="s">
        <v>552</v>
      </c>
    </row>
    <row r="17" spans="2:5" s="1" customFormat="1" ht="34.5" customHeight="1" x14ac:dyDescent="0.25">
      <c r="B17" s="449" t="s">
        <v>117</v>
      </c>
      <c r="C17" s="450" t="s">
        <v>557</v>
      </c>
      <c r="D17" s="451">
        <f>VAS076_F_Paskirstomasil243NuotekuDumblo</f>
        <v>1.0873112629757784</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0</v>
      </c>
      <c r="E19" s="456" t="s">
        <v>552</v>
      </c>
    </row>
    <row r="20" spans="2:5" s="1" customFormat="1" ht="24" x14ac:dyDescent="0.25">
      <c r="B20" s="457" t="s">
        <v>53</v>
      </c>
      <c r="C20" s="458" t="s">
        <v>560</v>
      </c>
      <c r="D20" s="459">
        <f>SUM(D21:D30)</f>
        <v>7014.9874977709778</v>
      </c>
      <c r="E20" s="460"/>
    </row>
    <row r="21" spans="2:5" s="1" customFormat="1" x14ac:dyDescent="0.25">
      <c r="B21" s="449" t="s">
        <v>55</v>
      </c>
      <c r="C21" s="461" t="s">
        <v>561</v>
      </c>
      <c r="D21" s="462">
        <v>6348.5258899999999</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v>
      </c>
      <c r="E25" s="452"/>
    </row>
    <row r="26" spans="2:5" s="1" customFormat="1" x14ac:dyDescent="0.25">
      <c r="B26" s="449" t="s">
        <v>318</v>
      </c>
      <c r="C26" s="461" t="s">
        <v>566</v>
      </c>
      <c r="D26" s="462">
        <v>0</v>
      </c>
      <c r="E26" s="452"/>
    </row>
    <row r="27" spans="2:5" s="1" customFormat="1" ht="24" x14ac:dyDescent="0.25">
      <c r="B27" s="449" t="s">
        <v>322</v>
      </c>
      <c r="C27" s="461" t="s">
        <v>567</v>
      </c>
      <c r="D27" s="462">
        <v>147.82055872559471</v>
      </c>
      <c r="E27" s="452"/>
    </row>
    <row r="28" spans="2:5" s="1" customFormat="1" x14ac:dyDescent="0.25">
      <c r="B28" s="449" t="s">
        <v>331</v>
      </c>
      <c r="C28" s="461" t="s">
        <v>568</v>
      </c>
      <c r="D28" s="462">
        <v>0</v>
      </c>
      <c r="E28" s="452"/>
    </row>
    <row r="29" spans="2:5" s="1" customFormat="1" ht="24" x14ac:dyDescent="0.25">
      <c r="B29" s="453" t="s">
        <v>333</v>
      </c>
      <c r="C29" s="463" t="s">
        <v>569</v>
      </c>
      <c r="D29" s="464">
        <v>31.188369999999995</v>
      </c>
      <c r="E29" s="456"/>
    </row>
    <row r="30" spans="2:5" s="1" customFormat="1" ht="24.75" thickBot="1" x14ac:dyDescent="0.3">
      <c r="B30" s="465" t="s">
        <v>343</v>
      </c>
      <c r="C30" s="466" t="s">
        <v>570</v>
      </c>
      <c r="D30" s="467">
        <f>D11-D12-D31-D21-D22-D23-D24-D25-D26-D27-D28-D29</f>
        <v>487.45267904538406</v>
      </c>
      <c r="E30" s="468"/>
    </row>
    <row r="31" spans="2:5" s="1" customFormat="1" x14ac:dyDescent="0.25">
      <c r="B31" s="469" t="s">
        <v>59</v>
      </c>
      <c r="C31" s="470" t="s">
        <v>571</v>
      </c>
      <c r="D31" s="471">
        <f>SUM(D32:D33)</f>
        <v>585.59579597155209</v>
      </c>
      <c r="E31" s="452" t="s">
        <v>552</v>
      </c>
    </row>
    <row r="32" spans="2:5" s="1" customFormat="1" x14ac:dyDescent="0.25">
      <c r="B32" s="449" t="s">
        <v>150</v>
      </c>
      <c r="C32" s="450" t="s">
        <v>572</v>
      </c>
      <c r="D32" s="451">
        <f>VAS076_F_Paskirstomasil26KitosReguliuojamosios</f>
        <v>565.38478926435937</v>
      </c>
      <c r="E32" s="452" t="s">
        <v>552</v>
      </c>
    </row>
    <row r="33" spans="2:5" s="1" customFormat="1" ht="15.75" thickBot="1" x14ac:dyDescent="0.3">
      <c r="B33" s="453" t="s">
        <v>152</v>
      </c>
      <c r="C33" s="454" t="s">
        <v>573</v>
      </c>
      <c r="D33" s="455">
        <f>VAS076_F_Paskirstomasil27KitosVeiklos</f>
        <v>20.211006707192748</v>
      </c>
      <c r="E33" s="456" t="s">
        <v>552</v>
      </c>
    </row>
    <row r="34" spans="2:5" s="1" customFormat="1" ht="25.5" thickTop="1" thickBot="1" x14ac:dyDescent="0.3">
      <c r="B34" s="441" t="s">
        <v>574</v>
      </c>
      <c r="C34" s="442" t="s">
        <v>575</v>
      </c>
      <c r="D34" s="472">
        <v>14106.64264</v>
      </c>
      <c r="E34" s="444"/>
    </row>
    <row r="35" spans="2:5" s="1" customFormat="1" ht="37.5" thickTop="1" thickBot="1" x14ac:dyDescent="0.3">
      <c r="B35" s="441" t="s">
        <v>63</v>
      </c>
      <c r="C35" s="442" t="s">
        <v>576</v>
      </c>
      <c r="D35" s="443">
        <f>SUM(D36:D37)+D41+D42</f>
        <v>2490.108503523777</v>
      </c>
      <c r="E35" s="444" t="s">
        <v>577</v>
      </c>
    </row>
    <row r="36" spans="2:5" s="1" customFormat="1" ht="24.75" thickTop="1" x14ac:dyDescent="0.25">
      <c r="B36" s="445" t="s">
        <v>65</v>
      </c>
      <c r="C36" s="446" t="s">
        <v>578</v>
      </c>
      <c r="D36" s="447">
        <f>VAS075_F_Paskirstomasil13IsViso</f>
        <v>1145.5613223645621</v>
      </c>
      <c r="E36" s="448" t="s">
        <v>577</v>
      </c>
    </row>
    <row r="37" spans="2:5" s="1" customFormat="1" ht="24" x14ac:dyDescent="0.25">
      <c r="B37" s="449" t="s">
        <v>69</v>
      </c>
      <c r="C37" s="450" t="s">
        <v>579</v>
      </c>
      <c r="D37" s="451">
        <f>VAS075_F_Paskirstomasil14IsViso</f>
        <v>1344.5471811592149</v>
      </c>
      <c r="E37" s="452" t="s">
        <v>577</v>
      </c>
    </row>
    <row r="38" spans="2:5" s="1" customFormat="1" ht="24" x14ac:dyDescent="0.25">
      <c r="B38" s="449" t="s">
        <v>580</v>
      </c>
      <c r="C38" s="450" t="s">
        <v>581</v>
      </c>
      <c r="D38" s="451">
        <f>VAS075_F_Paskirstomasil141NuotekuSurinkimas</f>
        <v>1079.0419100000001</v>
      </c>
      <c r="E38" s="452" t="s">
        <v>577</v>
      </c>
    </row>
    <row r="39" spans="2:5" s="1" customFormat="1" ht="24" x14ac:dyDescent="0.25">
      <c r="B39" s="449" t="s">
        <v>582</v>
      </c>
      <c r="C39" s="450" t="s">
        <v>583</v>
      </c>
      <c r="D39" s="451">
        <f>VAS075_F_Paskirstomasil142NuotekuValymas</f>
        <v>264.3276811592151</v>
      </c>
      <c r="E39" s="452" t="s">
        <v>577</v>
      </c>
    </row>
    <row r="40" spans="2:5" s="1" customFormat="1" ht="24" x14ac:dyDescent="0.25">
      <c r="B40" s="449" t="s">
        <v>584</v>
      </c>
      <c r="C40" s="450" t="s">
        <v>585</v>
      </c>
      <c r="D40" s="451">
        <f>VAS075_F_Paskirstomasil143NuotekuDumblo</f>
        <v>1.1775899999999999</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0</v>
      </c>
      <c r="E42" s="456" t="s">
        <v>577</v>
      </c>
    </row>
    <row r="43" spans="2:5" s="1" customFormat="1" ht="24" x14ac:dyDescent="0.25">
      <c r="B43" s="457" t="s">
        <v>77</v>
      </c>
      <c r="C43" s="458" t="s">
        <v>588</v>
      </c>
      <c r="D43" s="459">
        <f>SUM(D44:D53)</f>
        <v>10482.468610000002</v>
      </c>
      <c r="E43" s="460"/>
    </row>
    <row r="44" spans="2:5" s="1" customFormat="1" x14ac:dyDescent="0.25">
      <c r="B44" s="449" t="s">
        <v>497</v>
      </c>
      <c r="C44" s="461" t="s">
        <v>561</v>
      </c>
      <c r="D44" s="462">
        <v>9031.389409999998</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v>
      </c>
      <c r="E48" s="452"/>
    </row>
    <row r="49" spans="2:5" s="1" customFormat="1" x14ac:dyDescent="0.25">
      <c r="B49" s="449" t="s">
        <v>179</v>
      </c>
      <c r="C49" s="461" t="s">
        <v>566</v>
      </c>
      <c r="D49" s="462">
        <v>0</v>
      </c>
      <c r="E49" s="452"/>
    </row>
    <row r="50" spans="2:5" s="1" customFormat="1" ht="24" x14ac:dyDescent="0.25">
      <c r="B50" s="449" t="s">
        <v>181</v>
      </c>
      <c r="C50" s="461" t="s">
        <v>567</v>
      </c>
      <c r="D50" s="462">
        <v>186.70698999999999</v>
      </c>
      <c r="E50" s="452"/>
    </row>
    <row r="51" spans="2:5" s="1" customFormat="1" x14ac:dyDescent="0.25">
      <c r="B51" s="449" t="s">
        <v>183</v>
      </c>
      <c r="C51" s="461" t="s">
        <v>568</v>
      </c>
      <c r="D51" s="462">
        <v>42.428989999999992</v>
      </c>
      <c r="E51" s="452"/>
    </row>
    <row r="52" spans="2:5" s="1" customFormat="1" ht="24" x14ac:dyDescent="0.25">
      <c r="B52" s="453" t="s">
        <v>185</v>
      </c>
      <c r="C52" s="463" t="s">
        <v>569</v>
      </c>
      <c r="D52" s="464">
        <v>1231.1101600000002</v>
      </c>
      <c r="E52" s="456"/>
    </row>
    <row r="53" spans="2:5" s="1" customFormat="1" ht="24.75" thickBot="1" x14ac:dyDescent="0.3">
      <c r="B53" s="465" t="s">
        <v>187</v>
      </c>
      <c r="C53" s="466" t="s">
        <v>589</v>
      </c>
      <c r="D53" s="473">
        <f>D34-D35-D54-D44-D45-D46-D47-D48-D49-D50-D51-D52</f>
        <v>-9.1669399999980214</v>
      </c>
      <c r="E53" s="468"/>
    </row>
    <row r="54" spans="2:5" s="1" customFormat="1" x14ac:dyDescent="0.25">
      <c r="B54" s="469" t="s">
        <v>79</v>
      </c>
      <c r="C54" s="470" t="s">
        <v>590</v>
      </c>
      <c r="D54" s="471">
        <f>D55+D56</f>
        <v>1134.0655264762231</v>
      </c>
      <c r="E54" s="452" t="s">
        <v>577</v>
      </c>
    </row>
    <row r="55" spans="2:5" s="1" customFormat="1" x14ac:dyDescent="0.25">
      <c r="B55" s="449" t="s">
        <v>212</v>
      </c>
      <c r="C55" s="450" t="s">
        <v>591</v>
      </c>
      <c r="D55" s="451">
        <f>VAS075_F_Paskirstomasil16KitosReguliuojamosios</f>
        <v>1103.783977479625</v>
      </c>
      <c r="E55" s="452" t="s">
        <v>577</v>
      </c>
    </row>
    <row r="56" spans="2:5" s="1" customFormat="1" ht="15.75" thickBot="1" x14ac:dyDescent="0.3">
      <c r="B56" s="474" t="s">
        <v>214</v>
      </c>
      <c r="C56" s="475" t="s">
        <v>592</v>
      </c>
      <c r="D56" s="476">
        <f>VAS075_F_Paskirstomasil17KitosVeiklos</f>
        <v>30.281548996598062</v>
      </c>
      <c r="E56" s="468" t="s">
        <v>577</v>
      </c>
    </row>
  </sheetData>
  <sheetProtection algorithmName="SHA-512" hashValue="YTwZ/hXDZ4PDOM76EhUmipkdjGF99mdxAMEWA2Ai5sPyrNcSWr1J3HsqRDSMHjam3WvNzxU1avoMviK62t43Iw==" saltValue="jQikCKo35CW03RhNXYY/KHL5VY2xoZbpXV/fmfZqIdyRo+OX2d6UkNVpv55OotiwCF9WvZdArpza/5NIkM/EuA=="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34"/>
  <sheetViews>
    <sheetView topLeftCell="A7" zoomScale="80" zoomScaleNormal="80" workbookViewId="0">
      <selection activeCell="K119" sqref="K119:P133"/>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3624.1740299999997</v>
      </c>
      <c r="E10" s="492">
        <f t="shared" si="0"/>
        <v>0</v>
      </c>
      <c r="F10" s="493">
        <f t="shared" si="0"/>
        <v>1145.5613223645621</v>
      </c>
      <c r="G10" s="494">
        <f t="shared" si="0"/>
        <v>194.91983899751489</v>
      </c>
      <c r="H10" s="495">
        <f t="shared" si="0"/>
        <v>77.213170000000005</v>
      </c>
      <c r="I10" s="496">
        <f t="shared" si="0"/>
        <v>873.42831336704705</v>
      </c>
      <c r="J10" s="493">
        <f t="shared" si="0"/>
        <v>1344.5471811592149</v>
      </c>
      <c r="K10" s="494">
        <f t="shared" si="0"/>
        <v>1079.0419100000001</v>
      </c>
      <c r="L10" s="495">
        <f t="shared" si="0"/>
        <v>264.3276811592151</v>
      </c>
      <c r="M10" s="497">
        <f t="shared" si="0"/>
        <v>1.1775899999999999</v>
      </c>
      <c r="N10" s="492">
        <f t="shared" si="0"/>
        <v>0</v>
      </c>
      <c r="O10" s="498">
        <f t="shared" si="0"/>
        <v>1103.783977479625</v>
      </c>
      <c r="P10" s="493">
        <f t="shared" si="0"/>
        <v>30.281548996598062</v>
      </c>
    </row>
    <row r="11" spans="1:16" s="1" customFormat="1" ht="15.75" thickTop="1" x14ac:dyDescent="0.25">
      <c r="B11" s="499" t="s">
        <v>96</v>
      </c>
      <c r="C11" s="500" t="s">
        <v>8</v>
      </c>
      <c r="D11" s="501">
        <f t="shared" ref="D11:D55" si="1">E11+F11+J11+N11+O11+P11</f>
        <v>0</v>
      </c>
      <c r="E11" s="502">
        <f>SUM(E12:E14)</f>
        <v>0</v>
      </c>
      <c r="F11" s="503">
        <f t="shared" ref="F11:F32" si="2">SUM(G11:I11)</f>
        <v>0</v>
      </c>
      <c r="G11" s="504">
        <f>SUM(G12:G14)</f>
        <v>0</v>
      </c>
      <c r="H11" s="505">
        <f>SUM(H12:H14)</f>
        <v>0</v>
      </c>
      <c r="I11" s="506">
        <f>SUM(I12:I14)</f>
        <v>0</v>
      </c>
      <c r="J11" s="503">
        <f t="shared" ref="J11:J32" si="3">SUM(K11:M11)</f>
        <v>0</v>
      </c>
      <c r="K11" s="504">
        <f t="shared" ref="K11:P11" si="4">SUM(K12:K14)</f>
        <v>0</v>
      </c>
      <c r="L11" s="505">
        <f t="shared" si="4"/>
        <v>0</v>
      </c>
      <c r="M11" s="507">
        <f t="shared" si="4"/>
        <v>0</v>
      </c>
      <c r="N11" s="502">
        <f t="shared" si="4"/>
        <v>0</v>
      </c>
      <c r="O11" s="508">
        <f t="shared" si="4"/>
        <v>0</v>
      </c>
      <c r="P11" s="503">
        <f t="shared" si="4"/>
        <v>0</v>
      </c>
    </row>
    <row r="12" spans="1:16" s="1" customFormat="1" x14ac:dyDescent="0.25">
      <c r="B12" s="509" t="s">
        <v>98</v>
      </c>
      <c r="C12" s="510" t="s">
        <v>10</v>
      </c>
      <c r="D12" s="501">
        <f t="shared" si="1"/>
        <v>0</v>
      </c>
      <c r="E12" s="511">
        <f>SUM(E35,E58,E98)</f>
        <v>0</v>
      </c>
      <c r="F12" s="503">
        <f t="shared" si="2"/>
        <v>0</v>
      </c>
      <c r="G12" s="512">
        <f t="shared" ref="G12:I14" si="5">SUM(G35,G58,G98)</f>
        <v>0</v>
      </c>
      <c r="H12" s="513">
        <f t="shared" si="5"/>
        <v>0</v>
      </c>
      <c r="I12" s="513">
        <f t="shared" si="5"/>
        <v>0</v>
      </c>
      <c r="J12" s="503">
        <f t="shared" si="3"/>
        <v>0</v>
      </c>
      <c r="K12" s="514">
        <f t="shared" ref="K12:P14" si="6">SUM(K35,K58,K98)</f>
        <v>0</v>
      </c>
      <c r="L12" s="515">
        <f t="shared" si="6"/>
        <v>0</v>
      </c>
      <c r="M12" s="515">
        <f t="shared" si="6"/>
        <v>0</v>
      </c>
      <c r="N12" s="516">
        <f t="shared" si="6"/>
        <v>0</v>
      </c>
      <c r="O12" s="517">
        <f t="shared" si="6"/>
        <v>0</v>
      </c>
      <c r="P12" s="518">
        <f t="shared" si="6"/>
        <v>0</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3145.8749499999999</v>
      </c>
      <c r="E15" s="502">
        <f>SUM(E16:E19)</f>
        <v>0</v>
      </c>
      <c r="F15" s="503">
        <f t="shared" si="2"/>
        <v>1074.6249800000001</v>
      </c>
      <c r="G15" s="504">
        <f>SUM(G16:G19)</f>
        <v>177.72026</v>
      </c>
      <c r="H15" s="505">
        <f>SUM(H16:H19)</f>
        <v>71.52958000000001</v>
      </c>
      <c r="I15" s="506">
        <f>SUM(I16:I19)</f>
        <v>825.37513999999999</v>
      </c>
      <c r="J15" s="503">
        <f t="shared" si="3"/>
        <v>1317.5386599999997</v>
      </c>
      <c r="K15" s="521">
        <f t="shared" ref="K15:P15" si="8">SUM(K16:K19)</f>
        <v>1074.7859100000001</v>
      </c>
      <c r="L15" s="522">
        <f t="shared" si="8"/>
        <v>241.57515999999973</v>
      </c>
      <c r="M15" s="522">
        <f t="shared" si="8"/>
        <v>1.1775899999999999</v>
      </c>
      <c r="N15" s="523">
        <f t="shared" si="8"/>
        <v>0</v>
      </c>
      <c r="O15" s="502">
        <f t="shared" si="8"/>
        <v>744.58478000000014</v>
      </c>
      <c r="P15" s="503">
        <f t="shared" si="8"/>
        <v>9.1265299999999989</v>
      </c>
    </row>
    <row r="16" spans="1:16" s="1" customFormat="1" x14ac:dyDescent="0.25">
      <c r="B16" s="509" t="s">
        <v>104</v>
      </c>
      <c r="C16" s="510" t="s">
        <v>17</v>
      </c>
      <c r="D16" s="501">
        <f t="shared" si="1"/>
        <v>325.00531000000007</v>
      </c>
      <c r="E16" s="511">
        <f t="shared" ref="E16:E19" si="9">SUM(E39,E62,E102)</f>
        <v>0</v>
      </c>
      <c r="F16" s="503">
        <f t="shared" si="2"/>
        <v>57.881300000000003</v>
      </c>
      <c r="G16" s="512">
        <f t="shared" ref="G16:I19" si="10">SUM(G39,G62,G102)</f>
        <v>25.76032</v>
      </c>
      <c r="H16" s="513">
        <f t="shared" si="10"/>
        <v>32.120980000000003</v>
      </c>
      <c r="I16" s="513">
        <f t="shared" si="10"/>
        <v>0</v>
      </c>
      <c r="J16" s="503">
        <f t="shared" si="3"/>
        <v>242.37195000000003</v>
      </c>
      <c r="K16" s="514">
        <f t="shared" ref="K16:P19" si="11">SUM(K39,K62,K102)</f>
        <v>118.92884000000001</v>
      </c>
      <c r="L16" s="515">
        <f t="shared" si="11"/>
        <v>122.26552000000001</v>
      </c>
      <c r="M16" s="515">
        <f t="shared" si="11"/>
        <v>1.1775899999999999</v>
      </c>
      <c r="N16" s="516">
        <f t="shared" si="11"/>
        <v>0</v>
      </c>
      <c r="O16" s="517">
        <f t="shared" si="11"/>
        <v>15.625530000000001</v>
      </c>
      <c r="P16" s="519">
        <f t="shared" si="11"/>
        <v>9.1265299999999989</v>
      </c>
    </row>
    <row r="17" spans="2:16" s="1" customFormat="1" x14ac:dyDescent="0.25">
      <c r="B17" s="509" t="s">
        <v>110</v>
      </c>
      <c r="C17" s="510" t="s">
        <v>597</v>
      </c>
      <c r="D17" s="501">
        <f t="shared" si="1"/>
        <v>25.140880000000003</v>
      </c>
      <c r="E17" s="511">
        <f t="shared" si="9"/>
        <v>0</v>
      </c>
      <c r="F17" s="503">
        <f t="shared" si="2"/>
        <v>21.576690000000003</v>
      </c>
      <c r="G17" s="512">
        <f t="shared" si="10"/>
        <v>21.576690000000003</v>
      </c>
      <c r="H17" s="513">
        <f t="shared" si="10"/>
        <v>0</v>
      </c>
      <c r="I17" s="513">
        <f t="shared" si="10"/>
        <v>0</v>
      </c>
      <c r="J17" s="503">
        <f t="shared" si="3"/>
        <v>1.65723</v>
      </c>
      <c r="K17" s="514">
        <f t="shared" si="11"/>
        <v>0</v>
      </c>
      <c r="L17" s="515">
        <f t="shared" si="11"/>
        <v>1.65723</v>
      </c>
      <c r="M17" s="515">
        <f t="shared" si="11"/>
        <v>0</v>
      </c>
      <c r="N17" s="516">
        <f t="shared" si="11"/>
        <v>0</v>
      </c>
      <c r="O17" s="517">
        <f t="shared" si="11"/>
        <v>1.90696</v>
      </c>
      <c r="P17" s="519">
        <f t="shared" si="11"/>
        <v>0</v>
      </c>
    </row>
    <row r="18" spans="2:16" s="1" customFormat="1" x14ac:dyDescent="0.25">
      <c r="B18" s="509" t="s">
        <v>117</v>
      </c>
      <c r="C18" s="510" t="s">
        <v>23</v>
      </c>
      <c r="D18" s="501">
        <f t="shared" si="1"/>
        <v>2266.3086000000003</v>
      </c>
      <c r="E18" s="511">
        <f t="shared" si="9"/>
        <v>0</v>
      </c>
      <c r="F18" s="503">
        <f t="shared" si="2"/>
        <v>652.57299999999998</v>
      </c>
      <c r="G18" s="512">
        <f t="shared" si="10"/>
        <v>0</v>
      </c>
      <c r="H18" s="513">
        <f t="shared" si="10"/>
        <v>0</v>
      </c>
      <c r="I18" s="513">
        <f t="shared" si="10"/>
        <v>652.57299999999998</v>
      </c>
      <c r="J18" s="503">
        <f t="shared" si="3"/>
        <v>886.68331000000001</v>
      </c>
      <c r="K18" s="514">
        <f t="shared" si="11"/>
        <v>886.68331000000001</v>
      </c>
      <c r="L18" s="515">
        <f t="shared" si="11"/>
        <v>0</v>
      </c>
      <c r="M18" s="515">
        <f t="shared" si="11"/>
        <v>0</v>
      </c>
      <c r="N18" s="516">
        <f t="shared" si="11"/>
        <v>0</v>
      </c>
      <c r="O18" s="517">
        <f t="shared" si="11"/>
        <v>727.05229000000008</v>
      </c>
      <c r="P18" s="519">
        <f t="shared" si="11"/>
        <v>0</v>
      </c>
    </row>
    <row r="19" spans="2:16" s="1" customFormat="1" ht="38.25" x14ac:dyDescent="0.25">
      <c r="B19" s="509" t="s">
        <v>598</v>
      </c>
      <c r="C19" s="510" t="s">
        <v>599</v>
      </c>
      <c r="D19" s="501">
        <f t="shared" si="1"/>
        <v>529.42015999999967</v>
      </c>
      <c r="E19" s="511">
        <f t="shared" si="9"/>
        <v>0</v>
      </c>
      <c r="F19" s="503">
        <f t="shared" si="2"/>
        <v>342.59398999999996</v>
      </c>
      <c r="G19" s="512">
        <f t="shared" si="10"/>
        <v>130.38324999999998</v>
      </c>
      <c r="H19" s="513">
        <f t="shared" si="10"/>
        <v>39.4086</v>
      </c>
      <c r="I19" s="513">
        <f t="shared" si="10"/>
        <v>172.80214000000001</v>
      </c>
      <c r="J19" s="503">
        <f t="shared" si="3"/>
        <v>186.82616999999973</v>
      </c>
      <c r="K19" s="514">
        <f t="shared" si="11"/>
        <v>69.173760000000016</v>
      </c>
      <c r="L19" s="515">
        <f t="shared" si="11"/>
        <v>117.65240999999972</v>
      </c>
      <c r="M19" s="515">
        <f t="shared" si="11"/>
        <v>0</v>
      </c>
      <c r="N19" s="516">
        <f t="shared" si="11"/>
        <v>0</v>
      </c>
      <c r="O19" s="517">
        <f t="shared" si="11"/>
        <v>0</v>
      </c>
      <c r="P19" s="519">
        <f t="shared" si="11"/>
        <v>0</v>
      </c>
    </row>
    <row r="20" spans="2:16" s="1" customFormat="1" x14ac:dyDescent="0.25">
      <c r="B20" s="499" t="s">
        <v>124</v>
      </c>
      <c r="C20" s="524" t="s">
        <v>27</v>
      </c>
      <c r="D20" s="501">
        <f t="shared" si="1"/>
        <v>363.00772999999998</v>
      </c>
      <c r="E20" s="502">
        <f>SUM(E21:E22)</f>
        <v>0</v>
      </c>
      <c r="F20" s="503">
        <f t="shared" si="2"/>
        <v>12.164619999999999</v>
      </c>
      <c r="G20" s="504">
        <f>SUM(G21:G22)</f>
        <v>6.4810299999999996</v>
      </c>
      <c r="H20" s="505">
        <f>SUM(H21:H22)</f>
        <v>5.6835900000000006</v>
      </c>
      <c r="I20" s="506">
        <f>SUM(I21:I22)</f>
        <v>0</v>
      </c>
      <c r="J20" s="503">
        <f t="shared" si="3"/>
        <v>9.331900000000001</v>
      </c>
      <c r="K20" s="521">
        <f t="shared" ref="K20:P20" si="12">SUM(K21:K22)</f>
        <v>4.2560000000000002</v>
      </c>
      <c r="L20" s="522">
        <f t="shared" si="12"/>
        <v>5.0758999999999999</v>
      </c>
      <c r="M20" s="522">
        <f t="shared" si="12"/>
        <v>0</v>
      </c>
      <c r="N20" s="523">
        <f t="shared" si="12"/>
        <v>0</v>
      </c>
      <c r="O20" s="502">
        <f t="shared" si="12"/>
        <v>341.51121000000001</v>
      </c>
      <c r="P20" s="503">
        <f t="shared" si="12"/>
        <v>0</v>
      </c>
    </row>
    <row r="21" spans="2:16" s="1" customFormat="1" ht="51.75" x14ac:dyDescent="0.25">
      <c r="B21" s="509" t="s">
        <v>126</v>
      </c>
      <c r="C21" s="525" t="s">
        <v>29</v>
      </c>
      <c r="D21" s="501">
        <f t="shared" si="1"/>
        <v>357.63773000000003</v>
      </c>
      <c r="E21" s="511">
        <f>SUM(E44,E67,E107)</f>
        <v>0</v>
      </c>
      <c r="F21" s="503">
        <f t="shared" si="2"/>
        <v>12.164619999999999</v>
      </c>
      <c r="G21" s="512">
        <f t="shared" ref="G21:I21" si="13">SUM(G44,G67,G107)</f>
        <v>6.4810299999999996</v>
      </c>
      <c r="H21" s="513">
        <f t="shared" si="13"/>
        <v>5.6835900000000006</v>
      </c>
      <c r="I21" s="513">
        <f t="shared" si="13"/>
        <v>0</v>
      </c>
      <c r="J21" s="503">
        <f t="shared" si="3"/>
        <v>3.9619</v>
      </c>
      <c r="K21" s="514">
        <f t="shared" ref="K21:P21" si="14">SUM(K44,K67,K107)</f>
        <v>2.7360000000000002</v>
      </c>
      <c r="L21" s="515">
        <f t="shared" si="14"/>
        <v>1.2259</v>
      </c>
      <c r="M21" s="515">
        <f t="shared" si="14"/>
        <v>0</v>
      </c>
      <c r="N21" s="516">
        <f t="shared" si="14"/>
        <v>0</v>
      </c>
      <c r="O21" s="517">
        <f t="shared" si="14"/>
        <v>341.51121000000001</v>
      </c>
      <c r="P21" s="519">
        <f t="shared" si="14"/>
        <v>0</v>
      </c>
    </row>
    <row r="22" spans="2:16" s="1" customFormat="1" x14ac:dyDescent="0.25">
      <c r="B22" s="509" t="s">
        <v>128</v>
      </c>
      <c r="C22" s="525" t="s">
        <v>31</v>
      </c>
      <c r="D22" s="501">
        <f t="shared" si="1"/>
        <v>5.37</v>
      </c>
      <c r="E22" s="511">
        <f>SUM(E45,E68)</f>
        <v>0</v>
      </c>
      <c r="F22" s="503">
        <f t="shared" si="2"/>
        <v>0</v>
      </c>
      <c r="G22" s="512">
        <f t="shared" ref="G22:I22" si="15">SUM(G45,G68)</f>
        <v>0</v>
      </c>
      <c r="H22" s="513">
        <f t="shared" si="15"/>
        <v>0</v>
      </c>
      <c r="I22" s="513">
        <f t="shared" si="15"/>
        <v>0</v>
      </c>
      <c r="J22" s="503">
        <f t="shared" si="3"/>
        <v>5.37</v>
      </c>
      <c r="K22" s="514">
        <f t="shared" ref="K22:P22" si="16">SUM(K45,K68)</f>
        <v>1.52</v>
      </c>
      <c r="L22" s="515">
        <f t="shared" si="16"/>
        <v>3.85</v>
      </c>
      <c r="M22" s="515">
        <f t="shared" si="16"/>
        <v>0</v>
      </c>
      <c r="N22" s="516">
        <f t="shared" si="16"/>
        <v>0</v>
      </c>
      <c r="O22" s="517">
        <f t="shared" si="16"/>
        <v>0</v>
      </c>
      <c r="P22" s="519">
        <f t="shared" si="16"/>
        <v>0</v>
      </c>
    </row>
    <row r="23" spans="2:16" s="1" customFormat="1" x14ac:dyDescent="0.25">
      <c r="B23" s="499" t="s">
        <v>131</v>
      </c>
      <c r="C23" s="524" t="s">
        <v>33</v>
      </c>
      <c r="D23" s="501">
        <f t="shared" si="1"/>
        <v>46.475919999999995</v>
      </c>
      <c r="E23" s="502">
        <f>SUM(E24:E25)</f>
        <v>0</v>
      </c>
      <c r="F23" s="503">
        <f t="shared" si="2"/>
        <v>13.669002364561969</v>
      </c>
      <c r="G23" s="504">
        <f>SUM(G24:G25)</f>
        <v>10.718548997514898</v>
      </c>
      <c r="H23" s="505">
        <f>SUM(H24:H25)</f>
        <v>0</v>
      </c>
      <c r="I23" s="506">
        <f>SUM(I24:I25)</f>
        <v>2.9504533670470723</v>
      </c>
      <c r="J23" s="503">
        <f t="shared" si="3"/>
        <v>17.676621159215383</v>
      </c>
      <c r="K23" s="521">
        <f t="shared" ref="K23:P23" si="17">SUM(K24:K25)</f>
        <v>0</v>
      </c>
      <c r="L23" s="522">
        <f t="shared" si="17"/>
        <v>17.676621159215383</v>
      </c>
      <c r="M23" s="522">
        <f t="shared" si="17"/>
        <v>0</v>
      </c>
      <c r="N23" s="523">
        <f t="shared" si="17"/>
        <v>0</v>
      </c>
      <c r="O23" s="502">
        <f t="shared" si="17"/>
        <v>8.7936674796245793</v>
      </c>
      <c r="P23" s="503">
        <f t="shared" si="17"/>
        <v>6.3366289965980638</v>
      </c>
    </row>
    <row r="24" spans="2:16" s="1" customFormat="1" x14ac:dyDescent="0.25">
      <c r="B24" s="526" t="s">
        <v>133</v>
      </c>
      <c r="C24" s="525" t="s">
        <v>600</v>
      </c>
      <c r="D24" s="501">
        <f t="shared" si="1"/>
        <v>0</v>
      </c>
      <c r="E24" s="511">
        <f>SUM(E47,E70,E109)</f>
        <v>0</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0</v>
      </c>
      <c r="P24" s="534">
        <f t="shared" si="19"/>
        <v>0</v>
      </c>
    </row>
    <row r="25" spans="2:16" s="1" customFormat="1" ht="26.25" x14ac:dyDescent="0.25">
      <c r="B25" s="526" t="s">
        <v>135</v>
      </c>
      <c r="C25" s="535" t="s">
        <v>601</v>
      </c>
      <c r="D25" s="501">
        <f t="shared" si="1"/>
        <v>46.475919999999995</v>
      </c>
      <c r="E25" s="511">
        <f>SUM(E48,E71,E110)</f>
        <v>0</v>
      </c>
      <c r="F25" s="527">
        <f t="shared" si="2"/>
        <v>13.669002364561969</v>
      </c>
      <c r="G25" s="528">
        <f t="shared" si="18"/>
        <v>10.718548997514898</v>
      </c>
      <c r="H25" s="529">
        <f t="shared" si="18"/>
        <v>0</v>
      </c>
      <c r="I25" s="529">
        <f t="shared" si="18"/>
        <v>2.9504533670470723</v>
      </c>
      <c r="J25" s="527">
        <f t="shared" si="3"/>
        <v>17.676621159215383</v>
      </c>
      <c r="K25" s="530">
        <f t="shared" si="19"/>
        <v>0</v>
      </c>
      <c r="L25" s="531">
        <f t="shared" si="19"/>
        <v>17.676621159215383</v>
      </c>
      <c r="M25" s="531">
        <f t="shared" si="19"/>
        <v>0</v>
      </c>
      <c r="N25" s="532">
        <f t="shared" si="19"/>
        <v>0</v>
      </c>
      <c r="O25" s="533">
        <f t="shared" si="19"/>
        <v>8.7936674796245793</v>
      </c>
      <c r="P25" s="534">
        <f t="shared" si="19"/>
        <v>6.3366289965980638</v>
      </c>
    </row>
    <row r="26" spans="2:16" s="1" customFormat="1" x14ac:dyDescent="0.25">
      <c r="B26" s="499" t="s">
        <v>274</v>
      </c>
      <c r="C26" s="536" t="s">
        <v>39</v>
      </c>
      <c r="D26" s="537">
        <f t="shared" si="1"/>
        <v>68.815429999999992</v>
      </c>
      <c r="E26" s="538">
        <f>SUM(E27:E28)</f>
        <v>0</v>
      </c>
      <c r="F26" s="539">
        <f t="shared" si="2"/>
        <v>45.102719999999998</v>
      </c>
      <c r="G26" s="540">
        <f>SUM(G27:G28)</f>
        <v>0</v>
      </c>
      <c r="H26" s="541">
        <f>SUM(H27:H28)</f>
        <v>0</v>
      </c>
      <c r="I26" s="542">
        <f>SUM(I27:I28)</f>
        <v>45.102719999999998</v>
      </c>
      <c r="J26" s="539">
        <f t="shared" si="3"/>
        <v>0</v>
      </c>
      <c r="K26" s="540">
        <f t="shared" ref="K26:P26" si="20">SUM(K27:K28)</f>
        <v>0</v>
      </c>
      <c r="L26" s="541">
        <f t="shared" si="20"/>
        <v>0</v>
      </c>
      <c r="M26" s="541">
        <f t="shared" si="20"/>
        <v>0</v>
      </c>
      <c r="N26" s="543">
        <f t="shared" si="20"/>
        <v>0</v>
      </c>
      <c r="O26" s="538">
        <f t="shared" si="20"/>
        <v>8.8943200000000004</v>
      </c>
      <c r="P26" s="539">
        <f t="shared" si="20"/>
        <v>14.818389999999999</v>
      </c>
    </row>
    <row r="27" spans="2:16" s="1" customFormat="1" x14ac:dyDescent="0.25">
      <c r="B27" s="544" t="s">
        <v>276</v>
      </c>
      <c r="C27" s="545" t="s">
        <v>41</v>
      </c>
      <c r="D27" s="546">
        <f t="shared" si="1"/>
        <v>9.763539999999999</v>
      </c>
      <c r="E27" s="511">
        <f>SUM(E50,E73,E112)</f>
        <v>0</v>
      </c>
      <c r="F27" s="547">
        <f t="shared" si="2"/>
        <v>0</v>
      </c>
      <c r="G27" s="548">
        <f t="shared" ref="G27:I28" si="21">SUM(G50,G73,G112)</f>
        <v>0</v>
      </c>
      <c r="H27" s="549">
        <f t="shared" si="21"/>
        <v>0</v>
      </c>
      <c r="I27" s="549">
        <f t="shared" si="21"/>
        <v>0</v>
      </c>
      <c r="J27" s="547">
        <f t="shared" si="3"/>
        <v>0</v>
      </c>
      <c r="K27" s="530">
        <f t="shared" ref="K27:P28" si="22">SUM(K50,K73,K112)</f>
        <v>0</v>
      </c>
      <c r="L27" s="531">
        <f t="shared" si="22"/>
        <v>0</v>
      </c>
      <c r="M27" s="531">
        <f t="shared" si="22"/>
        <v>0</v>
      </c>
      <c r="N27" s="532">
        <f t="shared" si="22"/>
        <v>0</v>
      </c>
      <c r="O27" s="550">
        <f t="shared" si="22"/>
        <v>0</v>
      </c>
      <c r="P27" s="551">
        <f t="shared" si="22"/>
        <v>9.763539999999999</v>
      </c>
    </row>
    <row r="28" spans="2:16" s="1" customFormat="1" ht="26.25" x14ac:dyDescent="0.25">
      <c r="B28" s="544" t="s">
        <v>278</v>
      </c>
      <c r="C28" s="552" t="s">
        <v>43</v>
      </c>
      <c r="D28" s="537">
        <f t="shared" si="1"/>
        <v>59.05189</v>
      </c>
      <c r="E28" s="511">
        <f>SUM(E51,E74,E113)</f>
        <v>0</v>
      </c>
      <c r="F28" s="539">
        <f t="shared" si="2"/>
        <v>45.102719999999998</v>
      </c>
      <c r="G28" s="530">
        <f t="shared" si="21"/>
        <v>0</v>
      </c>
      <c r="H28" s="531">
        <f t="shared" si="21"/>
        <v>0</v>
      </c>
      <c r="I28" s="531">
        <f t="shared" si="21"/>
        <v>45.102719999999998</v>
      </c>
      <c r="J28" s="539">
        <f t="shared" si="3"/>
        <v>0</v>
      </c>
      <c r="K28" s="530">
        <f t="shared" si="22"/>
        <v>0</v>
      </c>
      <c r="L28" s="531">
        <f t="shared" si="22"/>
        <v>0</v>
      </c>
      <c r="M28" s="531">
        <f t="shared" si="22"/>
        <v>0</v>
      </c>
      <c r="N28" s="532">
        <f t="shared" si="22"/>
        <v>0</v>
      </c>
      <c r="O28" s="553">
        <f t="shared" si="22"/>
        <v>8.8943200000000004</v>
      </c>
      <c r="P28" s="554">
        <f t="shared" si="22"/>
        <v>5.0548500000000001</v>
      </c>
    </row>
    <row r="29" spans="2:16" s="1" customFormat="1" x14ac:dyDescent="0.25">
      <c r="B29" s="555" t="s">
        <v>282</v>
      </c>
      <c r="C29" s="556" t="s">
        <v>602</v>
      </c>
      <c r="D29" s="537">
        <f t="shared" si="1"/>
        <v>0</v>
      </c>
      <c r="E29" s="538">
        <f>SUM(E30:E32)</f>
        <v>0</v>
      </c>
      <c r="F29" s="539">
        <f t="shared" si="2"/>
        <v>0</v>
      </c>
      <c r="G29" s="540">
        <f>SUM(G30:G32)</f>
        <v>0</v>
      </c>
      <c r="H29" s="541">
        <f>SUM(H30:H32)</f>
        <v>0</v>
      </c>
      <c r="I29" s="542">
        <f>SUM(I30:I32)</f>
        <v>0</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603</v>
      </c>
      <c r="D30" s="537">
        <f t="shared" si="1"/>
        <v>0</v>
      </c>
      <c r="E30" s="559">
        <f t="shared" ref="E30:E32" si="24">SUM(E53,E76,E115)</f>
        <v>0</v>
      </c>
      <c r="F30" s="539">
        <f t="shared" si="2"/>
        <v>0</v>
      </c>
      <c r="G30" s="530">
        <f t="shared" ref="G30:I32" si="25">SUM(G53,G76,G115)</f>
        <v>0</v>
      </c>
      <c r="H30" s="531">
        <f t="shared" si="25"/>
        <v>0</v>
      </c>
      <c r="I30" s="531">
        <f t="shared" si="25"/>
        <v>0</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3605.93217</v>
      </c>
      <c r="E33" s="492">
        <f t="shared" ref="E33:P33" si="27">E34+E38+E43+E46+E49+E52</f>
        <v>0</v>
      </c>
      <c r="F33" s="493">
        <f t="shared" si="27"/>
        <v>1141.6442800000002</v>
      </c>
      <c r="G33" s="494">
        <f t="shared" si="27"/>
        <v>191.84828999999999</v>
      </c>
      <c r="H33" s="495">
        <f t="shared" si="27"/>
        <v>77.213170000000005</v>
      </c>
      <c r="I33" s="496">
        <f t="shared" si="27"/>
        <v>872.58281999999997</v>
      </c>
      <c r="J33" s="493">
        <f t="shared" si="27"/>
        <v>1339.4816999999996</v>
      </c>
      <c r="K33" s="494">
        <f t="shared" si="27"/>
        <v>1079.0419100000001</v>
      </c>
      <c r="L33" s="495">
        <f t="shared" si="27"/>
        <v>259.26219999999972</v>
      </c>
      <c r="M33" s="495">
        <f t="shared" si="27"/>
        <v>1.1775899999999999</v>
      </c>
      <c r="N33" s="570">
        <f t="shared" si="27"/>
        <v>0</v>
      </c>
      <c r="O33" s="492">
        <f t="shared" si="27"/>
        <v>1101.2640300000003</v>
      </c>
      <c r="P33" s="493">
        <f t="shared" si="27"/>
        <v>23.542159999999996</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3145.8749499999999</v>
      </c>
      <c r="E38" s="502">
        <f>SUM(E39:E42)</f>
        <v>0</v>
      </c>
      <c r="F38" s="503">
        <f t="shared" si="28"/>
        <v>1074.6249800000001</v>
      </c>
      <c r="G38" s="504">
        <f>SUM(G39:G42)</f>
        <v>177.72026</v>
      </c>
      <c r="H38" s="505">
        <f>SUM(H39:H42)</f>
        <v>71.52958000000001</v>
      </c>
      <c r="I38" s="506">
        <f>SUM(I39:I42)</f>
        <v>825.37513999999999</v>
      </c>
      <c r="J38" s="503">
        <f t="shared" si="29"/>
        <v>1317.5386599999997</v>
      </c>
      <c r="K38" s="504">
        <f t="shared" ref="K38:P38" si="31">SUM(K39:K42)</f>
        <v>1074.7859100000001</v>
      </c>
      <c r="L38" s="505">
        <f t="shared" si="31"/>
        <v>241.57515999999973</v>
      </c>
      <c r="M38" s="507">
        <f t="shared" si="31"/>
        <v>1.1775899999999999</v>
      </c>
      <c r="N38" s="502">
        <f t="shared" si="31"/>
        <v>0</v>
      </c>
      <c r="O38" s="508">
        <f t="shared" si="31"/>
        <v>744.58478000000014</v>
      </c>
      <c r="P38" s="503">
        <f t="shared" si="31"/>
        <v>9.1265299999999989</v>
      </c>
    </row>
    <row r="39" spans="2:16" s="1" customFormat="1" x14ac:dyDescent="0.25">
      <c r="B39" s="509" t="s">
        <v>143</v>
      </c>
      <c r="C39" s="510" t="s">
        <v>17</v>
      </c>
      <c r="D39" s="501">
        <f t="shared" si="1"/>
        <v>325.00531000000007</v>
      </c>
      <c r="E39" s="572">
        <v>0</v>
      </c>
      <c r="F39" s="503">
        <f t="shared" si="28"/>
        <v>57.881300000000003</v>
      </c>
      <c r="G39" s="309">
        <v>25.76032</v>
      </c>
      <c r="H39" s="310">
        <v>32.120980000000003</v>
      </c>
      <c r="I39" s="573">
        <v>0</v>
      </c>
      <c r="J39" s="503">
        <f t="shared" si="29"/>
        <v>242.37195000000003</v>
      </c>
      <c r="K39" s="309">
        <v>118.92884000000001</v>
      </c>
      <c r="L39" s="310">
        <v>122.26552000000001</v>
      </c>
      <c r="M39" s="311">
        <v>1.1775899999999999</v>
      </c>
      <c r="N39" s="572">
        <v>0</v>
      </c>
      <c r="O39" s="574">
        <v>15.625530000000001</v>
      </c>
      <c r="P39" s="575">
        <v>9.1265299999999989</v>
      </c>
    </row>
    <row r="40" spans="2:16" s="1" customFormat="1" x14ac:dyDescent="0.25">
      <c r="B40" s="509" t="s">
        <v>145</v>
      </c>
      <c r="C40" s="510" t="s">
        <v>597</v>
      </c>
      <c r="D40" s="501">
        <f t="shared" si="1"/>
        <v>25.140880000000003</v>
      </c>
      <c r="E40" s="572">
        <v>0</v>
      </c>
      <c r="F40" s="503">
        <f t="shared" si="28"/>
        <v>21.576690000000003</v>
      </c>
      <c r="G40" s="309">
        <v>21.576690000000003</v>
      </c>
      <c r="H40" s="310">
        <v>0</v>
      </c>
      <c r="I40" s="573">
        <v>0</v>
      </c>
      <c r="J40" s="503">
        <f t="shared" si="29"/>
        <v>1.65723</v>
      </c>
      <c r="K40" s="309">
        <v>0</v>
      </c>
      <c r="L40" s="310">
        <v>1.65723</v>
      </c>
      <c r="M40" s="311">
        <v>0</v>
      </c>
      <c r="N40" s="572">
        <v>0</v>
      </c>
      <c r="O40" s="574">
        <v>1.90696</v>
      </c>
      <c r="P40" s="575">
        <v>0</v>
      </c>
    </row>
    <row r="41" spans="2:16" s="1" customFormat="1" x14ac:dyDescent="0.25">
      <c r="B41" s="509" t="s">
        <v>608</v>
      </c>
      <c r="C41" s="510" t="s">
        <v>23</v>
      </c>
      <c r="D41" s="501">
        <f t="shared" si="1"/>
        <v>2266.3086000000003</v>
      </c>
      <c r="E41" s="572">
        <v>0</v>
      </c>
      <c r="F41" s="503">
        <f t="shared" si="28"/>
        <v>652.57299999999998</v>
      </c>
      <c r="G41" s="309">
        <v>0</v>
      </c>
      <c r="H41" s="310">
        <v>0</v>
      </c>
      <c r="I41" s="573">
        <v>652.57299999999998</v>
      </c>
      <c r="J41" s="503">
        <f t="shared" si="29"/>
        <v>886.68331000000001</v>
      </c>
      <c r="K41" s="309">
        <v>886.68331000000001</v>
      </c>
      <c r="L41" s="310">
        <v>0</v>
      </c>
      <c r="M41" s="311">
        <v>0</v>
      </c>
      <c r="N41" s="572">
        <v>0</v>
      </c>
      <c r="O41" s="574">
        <v>727.05229000000008</v>
      </c>
      <c r="P41" s="575">
        <v>0</v>
      </c>
    </row>
    <row r="42" spans="2:16" s="1" customFormat="1" ht="38.25" x14ac:dyDescent="0.25">
      <c r="B42" s="509" t="s">
        <v>609</v>
      </c>
      <c r="C42" s="510" t="s">
        <v>599</v>
      </c>
      <c r="D42" s="501">
        <f t="shared" si="1"/>
        <v>529.42015999999967</v>
      </c>
      <c r="E42" s="572">
        <v>0</v>
      </c>
      <c r="F42" s="503">
        <f t="shared" si="28"/>
        <v>342.59398999999996</v>
      </c>
      <c r="G42" s="309">
        <v>130.38324999999998</v>
      </c>
      <c r="H42" s="310">
        <v>39.4086</v>
      </c>
      <c r="I42" s="573">
        <v>172.80214000000001</v>
      </c>
      <c r="J42" s="503">
        <f t="shared" si="29"/>
        <v>186.82616999999973</v>
      </c>
      <c r="K42" s="309">
        <v>69.173760000000016</v>
      </c>
      <c r="L42" s="310">
        <v>117.65240999999972</v>
      </c>
      <c r="M42" s="311">
        <v>0</v>
      </c>
      <c r="N42" s="572">
        <v>0</v>
      </c>
      <c r="O42" s="574">
        <v>0</v>
      </c>
      <c r="P42" s="575">
        <v>0</v>
      </c>
    </row>
    <row r="43" spans="2:16" s="1" customFormat="1" x14ac:dyDescent="0.25">
      <c r="B43" s="499" t="s">
        <v>302</v>
      </c>
      <c r="C43" s="524" t="s">
        <v>27</v>
      </c>
      <c r="D43" s="501">
        <f t="shared" si="1"/>
        <v>363.00772999999998</v>
      </c>
      <c r="E43" s="502">
        <f>SUM(E44:E45)</f>
        <v>0</v>
      </c>
      <c r="F43" s="503">
        <f t="shared" si="28"/>
        <v>12.164619999999999</v>
      </c>
      <c r="G43" s="504">
        <f>SUM(G44:G45)</f>
        <v>6.4810299999999996</v>
      </c>
      <c r="H43" s="505">
        <f>SUM(H44:H45)</f>
        <v>5.6835900000000006</v>
      </c>
      <c r="I43" s="506">
        <f>SUM(I44:I45)</f>
        <v>0</v>
      </c>
      <c r="J43" s="503">
        <f t="shared" si="29"/>
        <v>9.331900000000001</v>
      </c>
      <c r="K43" s="504">
        <f t="shared" ref="K43:P43" si="32">SUM(K44:K45)</f>
        <v>4.2560000000000002</v>
      </c>
      <c r="L43" s="505">
        <f t="shared" si="32"/>
        <v>5.0758999999999999</v>
      </c>
      <c r="M43" s="507">
        <f t="shared" si="32"/>
        <v>0</v>
      </c>
      <c r="N43" s="502">
        <f t="shared" si="32"/>
        <v>0</v>
      </c>
      <c r="O43" s="508">
        <f t="shared" si="32"/>
        <v>341.51121000000001</v>
      </c>
      <c r="P43" s="503">
        <f t="shared" si="32"/>
        <v>0</v>
      </c>
    </row>
    <row r="44" spans="2:16" s="1" customFormat="1" ht="51.75" x14ac:dyDescent="0.25">
      <c r="B44" s="509" t="s">
        <v>304</v>
      </c>
      <c r="C44" s="525" t="s">
        <v>29</v>
      </c>
      <c r="D44" s="501">
        <f t="shared" si="1"/>
        <v>357.63773000000003</v>
      </c>
      <c r="E44" s="572">
        <v>0</v>
      </c>
      <c r="F44" s="503">
        <f t="shared" si="28"/>
        <v>12.164619999999999</v>
      </c>
      <c r="G44" s="309">
        <v>6.4810299999999996</v>
      </c>
      <c r="H44" s="310">
        <v>5.6835900000000006</v>
      </c>
      <c r="I44" s="573">
        <v>0</v>
      </c>
      <c r="J44" s="503">
        <f t="shared" si="29"/>
        <v>3.9619</v>
      </c>
      <c r="K44" s="309">
        <v>2.7360000000000002</v>
      </c>
      <c r="L44" s="310">
        <v>1.2259</v>
      </c>
      <c r="M44" s="311">
        <v>0</v>
      </c>
      <c r="N44" s="572">
        <v>0</v>
      </c>
      <c r="O44" s="574">
        <v>341.51121000000001</v>
      </c>
      <c r="P44" s="575">
        <v>0</v>
      </c>
    </row>
    <row r="45" spans="2:16" s="1" customFormat="1" x14ac:dyDescent="0.25">
      <c r="B45" s="509" t="s">
        <v>305</v>
      </c>
      <c r="C45" s="525" t="s">
        <v>31</v>
      </c>
      <c r="D45" s="501">
        <f t="shared" si="1"/>
        <v>5.37</v>
      </c>
      <c r="E45" s="572">
        <v>0</v>
      </c>
      <c r="F45" s="503">
        <f t="shared" si="28"/>
        <v>0</v>
      </c>
      <c r="G45" s="309">
        <v>0</v>
      </c>
      <c r="H45" s="310">
        <v>0</v>
      </c>
      <c r="I45" s="573">
        <v>0</v>
      </c>
      <c r="J45" s="503">
        <f t="shared" si="29"/>
        <v>5.37</v>
      </c>
      <c r="K45" s="309">
        <v>1.52</v>
      </c>
      <c r="L45" s="310">
        <v>3.85</v>
      </c>
      <c r="M45" s="311">
        <v>0</v>
      </c>
      <c r="N45" s="572">
        <v>0</v>
      </c>
      <c r="O45" s="574">
        <v>0</v>
      </c>
      <c r="P45" s="575">
        <v>0</v>
      </c>
    </row>
    <row r="46" spans="2:16" s="1" customFormat="1" x14ac:dyDescent="0.25">
      <c r="B46" s="499" t="s">
        <v>307</v>
      </c>
      <c r="C46" s="524" t="s">
        <v>33</v>
      </c>
      <c r="D46" s="501">
        <f t="shared" si="1"/>
        <v>33.157600000000002</v>
      </c>
      <c r="E46" s="502">
        <f>SUM(E47:E48)</f>
        <v>0</v>
      </c>
      <c r="F46" s="503">
        <f t="shared" si="28"/>
        <v>9.7519600000000004</v>
      </c>
      <c r="G46" s="504">
        <f>SUM(G47:G48)</f>
        <v>7.6470000000000002</v>
      </c>
      <c r="H46" s="505">
        <f>SUM(H47:H48)</f>
        <v>0</v>
      </c>
      <c r="I46" s="506">
        <f>SUM(I47:I48)</f>
        <v>2.1049600000000002</v>
      </c>
      <c r="J46" s="503">
        <f t="shared" si="29"/>
        <v>12.611139999999999</v>
      </c>
      <c r="K46" s="504">
        <f t="shared" ref="K46:P46" si="33">SUM(K47:K48)</f>
        <v>0</v>
      </c>
      <c r="L46" s="505">
        <f t="shared" si="33"/>
        <v>12.611139999999999</v>
      </c>
      <c r="M46" s="507">
        <f t="shared" si="33"/>
        <v>0</v>
      </c>
      <c r="N46" s="502">
        <f t="shared" si="33"/>
        <v>0</v>
      </c>
      <c r="O46" s="508">
        <f t="shared" si="33"/>
        <v>6.2737199999999991</v>
      </c>
      <c r="P46" s="503">
        <f t="shared" si="33"/>
        <v>4.5207799999999994</v>
      </c>
    </row>
    <row r="47" spans="2:16" s="1" customFormat="1" x14ac:dyDescent="0.25">
      <c r="B47" s="509" t="s">
        <v>308</v>
      </c>
      <c r="C47" s="525" t="s">
        <v>600</v>
      </c>
      <c r="D47" s="501">
        <f t="shared" si="1"/>
        <v>0</v>
      </c>
      <c r="E47" s="576">
        <v>0</v>
      </c>
      <c r="F47" s="527">
        <f t="shared" si="28"/>
        <v>0</v>
      </c>
      <c r="G47" s="577">
        <v>0</v>
      </c>
      <c r="H47" s="578">
        <v>0</v>
      </c>
      <c r="I47" s="579">
        <v>0</v>
      </c>
      <c r="J47" s="527">
        <f t="shared" si="29"/>
        <v>0</v>
      </c>
      <c r="K47" s="577">
        <v>0</v>
      </c>
      <c r="L47" s="578">
        <v>0</v>
      </c>
      <c r="M47" s="580">
        <v>0</v>
      </c>
      <c r="N47" s="576">
        <v>0</v>
      </c>
      <c r="O47" s="574">
        <v>0</v>
      </c>
      <c r="P47" s="575">
        <v>0</v>
      </c>
    </row>
    <row r="48" spans="2:16" s="1" customFormat="1" ht="26.25" x14ac:dyDescent="0.25">
      <c r="B48" s="526" t="s">
        <v>308</v>
      </c>
      <c r="C48" s="581" t="s">
        <v>601</v>
      </c>
      <c r="D48" s="501">
        <f t="shared" si="1"/>
        <v>33.157600000000002</v>
      </c>
      <c r="E48" s="576">
        <v>0</v>
      </c>
      <c r="F48" s="527">
        <f t="shared" si="28"/>
        <v>9.7519600000000004</v>
      </c>
      <c r="G48" s="577">
        <v>7.6470000000000002</v>
      </c>
      <c r="H48" s="578">
        <v>0</v>
      </c>
      <c r="I48" s="579">
        <v>2.1049600000000002</v>
      </c>
      <c r="J48" s="527">
        <f t="shared" si="29"/>
        <v>12.611139999999999</v>
      </c>
      <c r="K48" s="577">
        <v>0</v>
      </c>
      <c r="L48" s="578">
        <v>12.611139999999999</v>
      </c>
      <c r="M48" s="580">
        <v>0</v>
      </c>
      <c r="N48" s="576">
        <v>0</v>
      </c>
      <c r="O48" s="574">
        <v>6.2737199999999991</v>
      </c>
      <c r="P48" s="575">
        <v>4.5207799999999994</v>
      </c>
    </row>
    <row r="49" spans="2:17" s="1" customFormat="1" x14ac:dyDescent="0.25">
      <c r="B49" s="499" t="s">
        <v>312</v>
      </c>
      <c r="C49" s="536" t="s">
        <v>39</v>
      </c>
      <c r="D49" s="537">
        <f t="shared" si="1"/>
        <v>63.891889999999997</v>
      </c>
      <c r="E49" s="538">
        <f>SUM(E50:E51)</f>
        <v>0</v>
      </c>
      <c r="F49" s="539">
        <f t="shared" si="28"/>
        <v>45.102719999999998</v>
      </c>
      <c r="G49" s="540">
        <f>SUM(G50:G51)</f>
        <v>0</v>
      </c>
      <c r="H49" s="541">
        <f>SUM(H50:H51)</f>
        <v>0</v>
      </c>
      <c r="I49" s="542">
        <f>SUM(I50:I51)</f>
        <v>45.102719999999998</v>
      </c>
      <c r="J49" s="539">
        <f t="shared" si="29"/>
        <v>0</v>
      </c>
      <c r="K49" s="540">
        <f t="shared" ref="K49:P49" si="34">SUM(K50:K51)</f>
        <v>0</v>
      </c>
      <c r="L49" s="541">
        <f t="shared" si="34"/>
        <v>0</v>
      </c>
      <c r="M49" s="582">
        <f t="shared" si="34"/>
        <v>0</v>
      </c>
      <c r="N49" s="538">
        <f t="shared" si="34"/>
        <v>0</v>
      </c>
      <c r="O49" s="583">
        <f t="shared" si="34"/>
        <v>8.8943200000000004</v>
      </c>
      <c r="P49" s="539">
        <f t="shared" si="34"/>
        <v>9.8948499999999999</v>
      </c>
    </row>
    <row r="50" spans="2:17" s="1" customFormat="1" x14ac:dyDescent="0.25">
      <c r="B50" s="544" t="s">
        <v>314</v>
      </c>
      <c r="C50" s="545" t="s">
        <v>41</v>
      </c>
      <c r="D50" s="546">
        <f t="shared" si="1"/>
        <v>4.84</v>
      </c>
      <c r="E50" s="584">
        <v>0</v>
      </c>
      <c r="F50" s="547">
        <f t="shared" si="28"/>
        <v>0</v>
      </c>
      <c r="G50" s="585">
        <v>0</v>
      </c>
      <c r="H50" s="586">
        <v>0</v>
      </c>
      <c r="I50" s="587">
        <v>0</v>
      </c>
      <c r="J50" s="547">
        <f t="shared" si="29"/>
        <v>0</v>
      </c>
      <c r="K50" s="585">
        <v>0</v>
      </c>
      <c r="L50" s="586">
        <v>0</v>
      </c>
      <c r="M50" s="588">
        <v>0</v>
      </c>
      <c r="N50" s="584">
        <v>0</v>
      </c>
      <c r="O50" s="574">
        <v>0</v>
      </c>
      <c r="P50" s="575">
        <v>4.84</v>
      </c>
    </row>
    <row r="51" spans="2:17" s="1" customFormat="1" ht="26.25" x14ac:dyDescent="0.25">
      <c r="B51" s="544" t="s">
        <v>316</v>
      </c>
      <c r="C51" s="552" t="s">
        <v>43</v>
      </c>
      <c r="D51" s="537">
        <f t="shared" si="1"/>
        <v>59.05189</v>
      </c>
      <c r="E51" s="589">
        <v>0</v>
      </c>
      <c r="F51" s="539">
        <f t="shared" si="28"/>
        <v>45.102719999999998</v>
      </c>
      <c r="G51" s="590">
        <v>0</v>
      </c>
      <c r="H51" s="591">
        <v>0</v>
      </c>
      <c r="I51" s="592">
        <v>45.102719999999998</v>
      </c>
      <c r="J51" s="539">
        <f t="shared" si="29"/>
        <v>0</v>
      </c>
      <c r="K51" s="590">
        <v>0</v>
      </c>
      <c r="L51" s="591">
        <v>0</v>
      </c>
      <c r="M51" s="593">
        <v>0</v>
      </c>
      <c r="N51" s="589">
        <v>0</v>
      </c>
      <c r="O51" s="574">
        <v>8.8943200000000004</v>
      </c>
      <c r="P51" s="575">
        <v>5.0548500000000001</v>
      </c>
    </row>
    <row r="52" spans="2:17" s="1" customFormat="1" x14ac:dyDescent="0.25">
      <c r="B52" s="555" t="s">
        <v>318</v>
      </c>
      <c r="C52" s="556" t="s">
        <v>602</v>
      </c>
      <c r="D52" s="537">
        <f t="shared" si="1"/>
        <v>0</v>
      </c>
      <c r="E52" s="538">
        <f>SUM(E53:E55)</f>
        <v>0</v>
      </c>
      <c r="F52" s="539">
        <f t="shared" si="28"/>
        <v>0</v>
      </c>
      <c r="G52" s="540">
        <f>SUM(G53:G55)</f>
        <v>0</v>
      </c>
      <c r="H52" s="541">
        <f>SUM(H53:H55)</f>
        <v>0</v>
      </c>
      <c r="I52" s="542">
        <f>SUM(I53:I55)</f>
        <v>0</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603</v>
      </c>
      <c r="D53" s="537">
        <f t="shared" si="1"/>
        <v>0</v>
      </c>
      <c r="E53" s="589">
        <v>0</v>
      </c>
      <c r="F53" s="539">
        <f t="shared" si="28"/>
        <v>0</v>
      </c>
      <c r="G53" s="590">
        <v>0</v>
      </c>
      <c r="H53" s="591">
        <v>0</v>
      </c>
      <c r="I53" s="592">
        <v>0</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0</v>
      </c>
      <c r="E56" s="492">
        <f t="shared" si="36"/>
        <v>0</v>
      </c>
      <c r="F56" s="493">
        <f t="shared" si="36"/>
        <v>0</v>
      </c>
      <c r="G56" s="494">
        <f t="shared" si="36"/>
        <v>0</v>
      </c>
      <c r="H56" s="495">
        <f t="shared" si="36"/>
        <v>0</v>
      </c>
      <c r="I56" s="496">
        <f t="shared" si="36"/>
        <v>0</v>
      </c>
      <c r="J56" s="493">
        <f t="shared" si="36"/>
        <v>0</v>
      </c>
      <c r="K56" s="494">
        <f t="shared" si="36"/>
        <v>0</v>
      </c>
      <c r="L56" s="495">
        <f t="shared" si="36"/>
        <v>0</v>
      </c>
      <c r="M56" s="497">
        <f t="shared" si="36"/>
        <v>0</v>
      </c>
      <c r="N56" s="492">
        <f t="shared" si="36"/>
        <v>0</v>
      </c>
      <c r="O56" s="498">
        <f t="shared" si="36"/>
        <v>0</v>
      </c>
      <c r="P56" s="493">
        <f t="shared" si="36"/>
        <v>0</v>
      </c>
      <c r="Q56" s="602"/>
    </row>
    <row r="57" spans="2:17" s="1" customFormat="1" ht="15.75" thickTop="1" x14ac:dyDescent="0.25">
      <c r="B57" s="499" t="s">
        <v>150</v>
      </c>
      <c r="C57" s="500" t="s">
        <v>8</v>
      </c>
      <c r="D57" s="501">
        <f>SUM(D58:D60)</f>
        <v>0</v>
      </c>
      <c r="E57" s="502">
        <f>SUM(E58:E60)</f>
        <v>0</v>
      </c>
      <c r="F57" s="503">
        <f t="shared" ref="F57:F78" si="37">SUM(G57:I57)</f>
        <v>0</v>
      </c>
      <c r="G57" s="504">
        <f>SUM(G58:G60)</f>
        <v>0</v>
      </c>
      <c r="H57" s="505">
        <f>SUM(H58:H60)</f>
        <v>0</v>
      </c>
      <c r="I57" s="506">
        <f>SUM(I58:I60)</f>
        <v>0</v>
      </c>
      <c r="J57" s="503">
        <f t="shared" ref="J57:J78" si="38">SUM(K57:M57)</f>
        <v>0</v>
      </c>
      <c r="K57" s="504">
        <f t="shared" ref="K57:P57" si="39">SUM(K58:K60)</f>
        <v>0</v>
      </c>
      <c r="L57" s="505">
        <f t="shared" si="39"/>
        <v>0</v>
      </c>
      <c r="M57" s="507">
        <f t="shared" si="39"/>
        <v>0</v>
      </c>
      <c r="N57" s="502">
        <f t="shared" si="39"/>
        <v>0</v>
      </c>
      <c r="O57" s="508">
        <f t="shared" si="39"/>
        <v>0</v>
      </c>
      <c r="P57" s="503">
        <f t="shared" si="39"/>
        <v>0</v>
      </c>
    </row>
    <row r="58" spans="2:17" s="1" customFormat="1" x14ac:dyDescent="0.25">
      <c r="B58" s="509" t="s">
        <v>410</v>
      </c>
      <c r="C58" s="510" t="s">
        <v>10</v>
      </c>
      <c r="D58" s="603">
        <v>0</v>
      </c>
      <c r="E58" s="604">
        <f>IFERROR($D58*E80/100, 0)</f>
        <v>0</v>
      </c>
      <c r="F58" s="519">
        <f t="shared" si="37"/>
        <v>0</v>
      </c>
      <c r="G58" s="512">
        <f t="shared" ref="G58:I60" si="40">IFERROR($D58*G80/100, 0)</f>
        <v>0</v>
      </c>
      <c r="H58" s="513">
        <f t="shared" si="40"/>
        <v>0</v>
      </c>
      <c r="I58" s="605">
        <f t="shared" si="40"/>
        <v>0</v>
      </c>
      <c r="J58" s="519">
        <f t="shared" si="38"/>
        <v>0</v>
      </c>
      <c r="K58" s="512">
        <f t="shared" ref="K58:P60" si="41">IFERROR($D58*K80/100, 0)</f>
        <v>0</v>
      </c>
      <c r="L58" s="513">
        <f t="shared" si="41"/>
        <v>0</v>
      </c>
      <c r="M58" s="606">
        <f t="shared" si="41"/>
        <v>0</v>
      </c>
      <c r="N58" s="604">
        <f t="shared" si="41"/>
        <v>0</v>
      </c>
      <c r="O58" s="607">
        <f t="shared" si="41"/>
        <v>0</v>
      </c>
      <c r="P58" s="519">
        <f t="shared" si="41"/>
        <v>0</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0</v>
      </c>
      <c r="E61" s="502">
        <f>SUM(E62:E65)</f>
        <v>0</v>
      </c>
      <c r="F61" s="503">
        <f t="shared" si="37"/>
        <v>0</v>
      </c>
      <c r="G61" s="504">
        <f>SUM(G62:G65)</f>
        <v>0</v>
      </c>
      <c r="H61" s="505">
        <f>SUM(H62:H65)</f>
        <v>0</v>
      </c>
      <c r="I61" s="506">
        <f>SUM(I62:I65)</f>
        <v>0</v>
      </c>
      <c r="J61" s="503">
        <f t="shared" si="38"/>
        <v>0</v>
      </c>
      <c r="K61" s="504">
        <f t="shared" ref="K61:P61" si="42">SUM(K62:K65)</f>
        <v>0</v>
      </c>
      <c r="L61" s="505">
        <f t="shared" si="42"/>
        <v>0</v>
      </c>
      <c r="M61" s="507">
        <f t="shared" si="42"/>
        <v>0</v>
      </c>
      <c r="N61" s="502">
        <f t="shared" si="42"/>
        <v>0</v>
      </c>
      <c r="O61" s="508">
        <f t="shared" si="42"/>
        <v>0</v>
      </c>
      <c r="P61" s="503">
        <f t="shared" si="42"/>
        <v>0</v>
      </c>
    </row>
    <row r="62" spans="2:17" s="1" customFormat="1" x14ac:dyDescent="0.25">
      <c r="B62" s="509" t="s">
        <v>154</v>
      </c>
      <c r="C62" s="510" t="s">
        <v>17</v>
      </c>
      <c r="D62" s="603">
        <v>0</v>
      </c>
      <c r="E62" s="604">
        <f>IFERROR($D62*E83/100, 0)</f>
        <v>0</v>
      </c>
      <c r="F62" s="519">
        <f t="shared" si="37"/>
        <v>0</v>
      </c>
      <c r="G62" s="512">
        <f t="shared" ref="G62:I65" si="43">IFERROR($D62*G83/100, 0)</f>
        <v>0</v>
      </c>
      <c r="H62" s="513">
        <f t="shared" si="43"/>
        <v>0</v>
      </c>
      <c r="I62" s="605">
        <f t="shared" si="43"/>
        <v>0</v>
      </c>
      <c r="J62" s="519">
        <f t="shared" si="38"/>
        <v>0</v>
      </c>
      <c r="K62" s="512">
        <f t="shared" ref="K62:P65" si="44">IFERROR($D62*K83/100, 0)</f>
        <v>0</v>
      </c>
      <c r="L62" s="513">
        <f t="shared" si="44"/>
        <v>0</v>
      </c>
      <c r="M62" s="606">
        <f t="shared" si="44"/>
        <v>0</v>
      </c>
      <c r="N62" s="604">
        <f t="shared" si="44"/>
        <v>0</v>
      </c>
      <c r="O62" s="607">
        <f t="shared" si="44"/>
        <v>0</v>
      </c>
      <c r="P62" s="519">
        <f t="shared" si="44"/>
        <v>0</v>
      </c>
    </row>
    <row r="63" spans="2:17" s="1" customFormat="1" x14ac:dyDescent="0.25">
      <c r="B63" s="509" t="s">
        <v>156</v>
      </c>
      <c r="C63" s="510" t="s">
        <v>597</v>
      </c>
      <c r="D63" s="603">
        <v>0</v>
      </c>
      <c r="E63" s="604">
        <f>IFERROR($D63*E84/100, 0)</f>
        <v>0</v>
      </c>
      <c r="F63" s="519">
        <f t="shared" si="37"/>
        <v>0</v>
      </c>
      <c r="G63" s="512">
        <f t="shared" si="43"/>
        <v>0</v>
      </c>
      <c r="H63" s="513">
        <f t="shared" si="43"/>
        <v>0</v>
      </c>
      <c r="I63" s="605">
        <f t="shared" si="43"/>
        <v>0</v>
      </c>
      <c r="J63" s="519">
        <f t="shared" si="38"/>
        <v>0</v>
      </c>
      <c r="K63" s="512">
        <f t="shared" si="44"/>
        <v>0</v>
      </c>
      <c r="L63" s="513">
        <f t="shared" si="44"/>
        <v>0</v>
      </c>
      <c r="M63" s="606">
        <f t="shared" si="44"/>
        <v>0</v>
      </c>
      <c r="N63" s="604">
        <f t="shared" si="44"/>
        <v>0</v>
      </c>
      <c r="O63" s="607">
        <f t="shared" si="44"/>
        <v>0</v>
      </c>
      <c r="P63" s="519">
        <f t="shared" si="44"/>
        <v>0</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0</v>
      </c>
      <c r="E65" s="604">
        <f>IFERROR($D65*E86/100, 0)</f>
        <v>0</v>
      </c>
      <c r="F65" s="519">
        <f t="shared" si="37"/>
        <v>0</v>
      </c>
      <c r="G65" s="512">
        <f t="shared" si="43"/>
        <v>0</v>
      </c>
      <c r="H65" s="513">
        <f t="shared" si="43"/>
        <v>0</v>
      </c>
      <c r="I65" s="605">
        <f t="shared" si="43"/>
        <v>0</v>
      </c>
      <c r="J65" s="519">
        <f t="shared" si="38"/>
        <v>0</v>
      </c>
      <c r="K65" s="512">
        <f t="shared" si="44"/>
        <v>0</v>
      </c>
      <c r="L65" s="513">
        <f t="shared" si="44"/>
        <v>0</v>
      </c>
      <c r="M65" s="606">
        <f t="shared" si="44"/>
        <v>0</v>
      </c>
      <c r="N65" s="604">
        <f t="shared" si="44"/>
        <v>0</v>
      </c>
      <c r="O65" s="607">
        <f t="shared" si="44"/>
        <v>0</v>
      </c>
      <c r="P65" s="519">
        <f t="shared" si="44"/>
        <v>0</v>
      </c>
    </row>
    <row r="66" spans="2:16" s="1" customFormat="1" x14ac:dyDescent="0.25">
      <c r="B66" s="499" t="s">
        <v>160</v>
      </c>
      <c r="C66" s="524" t="s">
        <v>27</v>
      </c>
      <c r="D66" s="501">
        <f>D67+D68</f>
        <v>0</v>
      </c>
      <c r="E66" s="502">
        <f>E67+E68</f>
        <v>0</v>
      </c>
      <c r="F66" s="503">
        <f t="shared" si="37"/>
        <v>0</v>
      </c>
      <c r="G66" s="504">
        <f>G67+G68</f>
        <v>0</v>
      </c>
      <c r="H66" s="505">
        <f>H67+H68</f>
        <v>0</v>
      </c>
      <c r="I66" s="506">
        <f>I67+I68</f>
        <v>0</v>
      </c>
      <c r="J66" s="503">
        <f t="shared" si="38"/>
        <v>0</v>
      </c>
      <c r="K66" s="504">
        <f t="shared" ref="K66:P66" si="45">K67+K68</f>
        <v>0</v>
      </c>
      <c r="L66" s="505">
        <f t="shared" si="45"/>
        <v>0</v>
      </c>
      <c r="M66" s="507">
        <f t="shared" si="45"/>
        <v>0</v>
      </c>
      <c r="N66" s="502">
        <f t="shared" si="45"/>
        <v>0</v>
      </c>
      <c r="O66" s="508">
        <f t="shared" si="45"/>
        <v>0</v>
      </c>
      <c r="P66" s="503">
        <f t="shared" si="45"/>
        <v>0</v>
      </c>
    </row>
    <row r="67" spans="2:16" s="1" customFormat="1" ht="51.75" x14ac:dyDescent="0.25">
      <c r="B67" s="509" t="s">
        <v>412</v>
      </c>
      <c r="C67" s="525" t="s">
        <v>29</v>
      </c>
      <c r="D67" s="603">
        <v>0</v>
      </c>
      <c r="E67" s="604">
        <f>IFERROR($D67*E87/100, 0)</f>
        <v>0</v>
      </c>
      <c r="F67" s="519">
        <f t="shared" si="37"/>
        <v>0</v>
      </c>
      <c r="G67" s="512">
        <f t="shared" ref="G67:I68" si="46">IFERROR($D67*G87/100, 0)</f>
        <v>0</v>
      </c>
      <c r="H67" s="513">
        <f t="shared" si="46"/>
        <v>0</v>
      </c>
      <c r="I67" s="605">
        <f t="shared" si="46"/>
        <v>0</v>
      </c>
      <c r="J67" s="519">
        <f t="shared" si="38"/>
        <v>0</v>
      </c>
      <c r="K67" s="512">
        <f t="shared" ref="K67:P68" si="47">IFERROR($D67*K87/100, 0)</f>
        <v>0</v>
      </c>
      <c r="L67" s="513">
        <f t="shared" si="47"/>
        <v>0</v>
      </c>
      <c r="M67" s="606">
        <f t="shared" si="47"/>
        <v>0</v>
      </c>
      <c r="N67" s="604">
        <f t="shared" si="47"/>
        <v>0</v>
      </c>
      <c r="O67" s="607">
        <f t="shared" si="47"/>
        <v>0</v>
      </c>
      <c r="P67" s="519">
        <f t="shared" si="47"/>
        <v>0</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0</v>
      </c>
      <c r="E69" s="502">
        <f>E70+E71</f>
        <v>0</v>
      </c>
      <c r="F69" s="503">
        <f t="shared" si="37"/>
        <v>0</v>
      </c>
      <c r="G69" s="504">
        <f>G70+G71</f>
        <v>0</v>
      </c>
      <c r="H69" s="505">
        <f>H70+H71</f>
        <v>0</v>
      </c>
      <c r="I69" s="506">
        <f>I70+I71</f>
        <v>0</v>
      </c>
      <c r="J69" s="503">
        <f t="shared" si="38"/>
        <v>0</v>
      </c>
      <c r="K69" s="504">
        <f t="shared" ref="K69:P69" si="48">K70+K71</f>
        <v>0</v>
      </c>
      <c r="L69" s="505">
        <f t="shared" si="48"/>
        <v>0</v>
      </c>
      <c r="M69" s="507">
        <f t="shared" si="48"/>
        <v>0</v>
      </c>
      <c r="N69" s="502">
        <f t="shared" si="48"/>
        <v>0</v>
      </c>
      <c r="O69" s="508">
        <f t="shared" si="48"/>
        <v>0</v>
      </c>
      <c r="P69" s="503">
        <f t="shared" si="48"/>
        <v>0</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0</v>
      </c>
      <c r="E71" s="604">
        <f>IFERROR($D71*E90/100, 0)</f>
        <v>0</v>
      </c>
      <c r="F71" s="519">
        <f t="shared" si="37"/>
        <v>0</v>
      </c>
      <c r="G71" s="512">
        <f t="shared" si="49"/>
        <v>0</v>
      </c>
      <c r="H71" s="513">
        <f t="shared" si="49"/>
        <v>0</v>
      </c>
      <c r="I71" s="605">
        <f t="shared" si="49"/>
        <v>0</v>
      </c>
      <c r="J71" s="519">
        <f t="shared" si="38"/>
        <v>0</v>
      </c>
      <c r="K71" s="512">
        <f t="shared" si="50"/>
        <v>0</v>
      </c>
      <c r="L71" s="513">
        <f t="shared" si="50"/>
        <v>0</v>
      </c>
      <c r="M71" s="606">
        <f t="shared" si="50"/>
        <v>0</v>
      </c>
      <c r="N71" s="604">
        <f t="shared" si="50"/>
        <v>0</v>
      </c>
      <c r="O71" s="607">
        <f t="shared" si="50"/>
        <v>0</v>
      </c>
      <c r="P71" s="519">
        <f t="shared" si="50"/>
        <v>0</v>
      </c>
    </row>
    <row r="72" spans="2:16" s="1" customFormat="1" x14ac:dyDescent="0.25">
      <c r="B72" s="499" t="s">
        <v>418</v>
      </c>
      <c r="C72" s="536" t="s">
        <v>39</v>
      </c>
      <c r="D72" s="537">
        <f>D73+D74</f>
        <v>0</v>
      </c>
      <c r="E72" s="538">
        <f>E73+E74</f>
        <v>0</v>
      </c>
      <c r="F72" s="539">
        <f t="shared" si="37"/>
        <v>0</v>
      </c>
      <c r="G72" s="540">
        <f>G73+G74</f>
        <v>0</v>
      </c>
      <c r="H72" s="541">
        <f>H73+H74</f>
        <v>0</v>
      </c>
      <c r="I72" s="542">
        <f>I73+I74</f>
        <v>0</v>
      </c>
      <c r="J72" s="539">
        <f t="shared" si="38"/>
        <v>0</v>
      </c>
      <c r="K72" s="540">
        <f t="shared" ref="K72:P72" si="51">K73+K74</f>
        <v>0</v>
      </c>
      <c r="L72" s="541">
        <f t="shared" si="51"/>
        <v>0</v>
      </c>
      <c r="M72" s="582">
        <f t="shared" si="51"/>
        <v>0</v>
      </c>
      <c r="N72" s="538">
        <f t="shared" si="51"/>
        <v>0</v>
      </c>
      <c r="O72" s="583">
        <f t="shared" si="51"/>
        <v>0</v>
      </c>
      <c r="P72" s="539">
        <f t="shared" si="51"/>
        <v>0</v>
      </c>
    </row>
    <row r="73" spans="2:16" s="1" customFormat="1" x14ac:dyDescent="0.25">
      <c r="B73" s="544" t="s">
        <v>616</v>
      </c>
      <c r="C73" s="545" t="s">
        <v>41</v>
      </c>
      <c r="D73" s="608">
        <v>0</v>
      </c>
      <c r="E73" s="604">
        <f>IFERROR($D73*E91/100, 0)</f>
        <v>0</v>
      </c>
      <c r="F73" s="519">
        <f t="shared" si="37"/>
        <v>0</v>
      </c>
      <c r="G73" s="512">
        <f t="shared" ref="G73:I74" si="52">IFERROR($D73*G91/100, 0)</f>
        <v>0</v>
      </c>
      <c r="H73" s="513">
        <f t="shared" si="52"/>
        <v>0</v>
      </c>
      <c r="I73" s="605">
        <f t="shared" si="52"/>
        <v>0</v>
      </c>
      <c r="J73" s="519">
        <f t="shared" si="38"/>
        <v>0</v>
      </c>
      <c r="K73" s="512">
        <f t="shared" ref="K73:P74" si="53">IFERROR($D73*K91/100, 0)</f>
        <v>0</v>
      </c>
      <c r="L73" s="513">
        <f t="shared" si="53"/>
        <v>0</v>
      </c>
      <c r="M73" s="606">
        <f t="shared" si="53"/>
        <v>0</v>
      </c>
      <c r="N73" s="604">
        <f t="shared" si="53"/>
        <v>0</v>
      </c>
      <c r="O73" s="607">
        <f t="shared" si="53"/>
        <v>0</v>
      </c>
      <c r="P73" s="519">
        <f t="shared" si="53"/>
        <v>0</v>
      </c>
    </row>
    <row r="74" spans="2:16" s="1" customFormat="1" ht="26.25" x14ac:dyDescent="0.25">
      <c r="B74" s="544" t="s">
        <v>617</v>
      </c>
      <c r="C74" s="552" t="s">
        <v>43</v>
      </c>
      <c r="D74" s="609">
        <v>0</v>
      </c>
      <c r="E74" s="604">
        <f>IFERROR($D74*E92/100, 0)</f>
        <v>0</v>
      </c>
      <c r="F74" s="519">
        <f t="shared" si="37"/>
        <v>0</v>
      </c>
      <c r="G74" s="512">
        <f t="shared" si="52"/>
        <v>0</v>
      </c>
      <c r="H74" s="513">
        <f t="shared" si="52"/>
        <v>0</v>
      </c>
      <c r="I74" s="605">
        <f t="shared" si="52"/>
        <v>0</v>
      </c>
      <c r="J74" s="519">
        <f t="shared" si="38"/>
        <v>0</v>
      </c>
      <c r="K74" s="512">
        <f t="shared" si="53"/>
        <v>0</v>
      </c>
      <c r="L74" s="513">
        <f t="shared" si="53"/>
        <v>0</v>
      </c>
      <c r="M74" s="606">
        <f t="shared" si="53"/>
        <v>0</v>
      </c>
      <c r="N74" s="604">
        <f t="shared" si="53"/>
        <v>0</v>
      </c>
      <c r="O74" s="607">
        <f t="shared" si="53"/>
        <v>0</v>
      </c>
      <c r="P74" s="519">
        <f t="shared" si="53"/>
        <v>0</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0</v>
      </c>
      <c r="E80" s="632">
        <v>0</v>
      </c>
      <c r="F80" s="633">
        <f t="shared" ref="F80:F95" si="59">SUM(G80:I80)</f>
        <v>0</v>
      </c>
      <c r="G80" s="634">
        <v>0</v>
      </c>
      <c r="H80" s="635">
        <v>0</v>
      </c>
      <c r="I80" s="636">
        <v>0</v>
      </c>
      <c r="J80" s="633">
        <f t="shared" ref="J80:J95" si="60">SUM(K80:M80)</f>
        <v>0</v>
      </c>
      <c r="K80" s="634">
        <v>0</v>
      </c>
      <c r="L80" s="635">
        <v>0</v>
      </c>
      <c r="M80" s="637">
        <v>0</v>
      </c>
      <c r="N80" s="638">
        <v>0</v>
      </c>
      <c r="O80" s="639">
        <v>0</v>
      </c>
      <c r="P80" s="640">
        <v>0</v>
      </c>
    </row>
    <row r="81" spans="2:17" s="1" customFormat="1" x14ac:dyDescent="0.25">
      <c r="B81" s="641" t="s">
        <v>69</v>
      </c>
      <c r="C81" s="642" t="s">
        <v>621</v>
      </c>
      <c r="D81" s="643">
        <f t="shared" si="58"/>
        <v>0</v>
      </c>
      <c r="E81" s="644">
        <v>0</v>
      </c>
      <c r="F81" s="645">
        <f t="shared" si="59"/>
        <v>0</v>
      </c>
      <c r="G81" s="646">
        <v>0</v>
      </c>
      <c r="H81" s="647">
        <v>0</v>
      </c>
      <c r="I81" s="648">
        <v>0</v>
      </c>
      <c r="J81" s="645">
        <f t="shared" si="60"/>
        <v>0</v>
      </c>
      <c r="K81" s="646">
        <v>0</v>
      </c>
      <c r="L81" s="647">
        <v>0</v>
      </c>
      <c r="M81" s="649">
        <v>0</v>
      </c>
      <c r="N81" s="650">
        <v>0</v>
      </c>
      <c r="O81" s="651">
        <v>0</v>
      </c>
      <c r="P81" s="652">
        <v>0</v>
      </c>
    </row>
    <row r="82" spans="2:17" s="1" customFormat="1" x14ac:dyDescent="0.25">
      <c r="B82" s="641" t="s">
        <v>71</v>
      </c>
      <c r="C82" s="642" t="s">
        <v>622</v>
      </c>
      <c r="D82" s="643">
        <f t="shared" si="58"/>
        <v>0</v>
      </c>
      <c r="E82" s="644">
        <v>0</v>
      </c>
      <c r="F82" s="645">
        <f t="shared" si="59"/>
        <v>0</v>
      </c>
      <c r="G82" s="646">
        <v>0</v>
      </c>
      <c r="H82" s="647">
        <v>0</v>
      </c>
      <c r="I82" s="648">
        <v>0</v>
      </c>
      <c r="J82" s="645">
        <f t="shared" si="60"/>
        <v>0</v>
      </c>
      <c r="K82" s="646">
        <v>0</v>
      </c>
      <c r="L82" s="647">
        <v>0</v>
      </c>
      <c r="M82" s="649">
        <v>0</v>
      </c>
      <c r="N82" s="650">
        <v>0</v>
      </c>
      <c r="O82" s="651">
        <v>0</v>
      </c>
      <c r="P82" s="652">
        <v>0</v>
      </c>
    </row>
    <row r="83" spans="2:17" s="1" customFormat="1" x14ac:dyDescent="0.25">
      <c r="B83" s="653" t="s">
        <v>73</v>
      </c>
      <c r="C83" s="642" t="s">
        <v>623</v>
      </c>
      <c r="D83" s="643">
        <f t="shared" si="58"/>
        <v>0</v>
      </c>
      <c r="E83" s="644">
        <v>0</v>
      </c>
      <c r="F83" s="645">
        <f t="shared" si="59"/>
        <v>0</v>
      </c>
      <c r="G83" s="646">
        <v>0</v>
      </c>
      <c r="H83" s="647">
        <v>0</v>
      </c>
      <c r="I83" s="648">
        <v>0</v>
      </c>
      <c r="J83" s="645">
        <f t="shared" si="60"/>
        <v>0</v>
      </c>
      <c r="K83" s="646">
        <v>0</v>
      </c>
      <c r="L83" s="647">
        <v>0</v>
      </c>
      <c r="M83" s="649">
        <v>0</v>
      </c>
      <c r="N83" s="650">
        <v>0</v>
      </c>
      <c r="O83" s="651">
        <v>0</v>
      </c>
      <c r="P83" s="652">
        <v>0</v>
      </c>
    </row>
    <row r="84" spans="2:17" s="1" customFormat="1" x14ac:dyDescent="0.25">
      <c r="B84" s="641" t="s">
        <v>75</v>
      </c>
      <c r="C84" s="642" t="s">
        <v>624</v>
      </c>
      <c r="D84" s="643">
        <f t="shared" si="58"/>
        <v>0</v>
      </c>
      <c r="E84" s="644">
        <v>0</v>
      </c>
      <c r="F84" s="645">
        <f t="shared" si="59"/>
        <v>0</v>
      </c>
      <c r="G84" s="646">
        <v>0</v>
      </c>
      <c r="H84" s="647">
        <v>0</v>
      </c>
      <c r="I84" s="648">
        <v>0</v>
      </c>
      <c r="J84" s="645">
        <f t="shared" si="60"/>
        <v>0</v>
      </c>
      <c r="K84" s="646">
        <v>0</v>
      </c>
      <c r="L84" s="647">
        <v>0</v>
      </c>
      <c r="M84" s="649">
        <v>0</v>
      </c>
      <c r="N84" s="650">
        <v>0</v>
      </c>
      <c r="O84" s="651">
        <v>0</v>
      </c>
      <c r="P84" s="652">
        <v>0</v>
      </c>
    </row>
    <row r="85" spans="2:17" s="1" customFormat="1" x14ac:dyDescent="0.25">
      <c r="B85" s="641" t="s">
        <v>466</v>
      </c>
      <c r="C85" s="642" t="s">
        <v>625</v>
      </c>
      <c r="D85" s="643">
        <f t="shared" si="58"/>
        <v>0</v>
      </c>
      <c r="E85" s="644">
        <v>0</v>
      </c>
      <c r="F85" s="645">
        <f t="shared" si="59"/>
        <v>0</v>
      </c>
      <c r="G85" s="646">
        <v>0</v>
      </c>
      <c r="H85" s="647">
        <v>0</v>
      </c>
      <c r="I85" s="648">
        <v>0</v>
      </c>
      <c r="J85" s="645">
        <f t="shared" si="60"/>
        <v>0</v>
      </c>
      <c r="K85" s="646">
        <v>0</v>
      </c>
      <c r="L85" s="647">
        <v>0</v>
      </c>
      <c r="M85" s="649">
        <v>0</v>
      </c>
      <c r="N85" s="650">
        <v>0</v>
      </c>
      <c r="O85" s="651">
        <v>0</v>
      </c>
      <c r="P85" s="652">
        <v>0</v>
      </c>
    </row>
    <row r="86" spans="2:17" s="1" customFormat="1" x14ac:dyDescent="0.25">
      <c r="B86" s="641" t="s">
        <v>470</v>
      </c>
      <c r="C86" s="642" t="s">
        <v>626</v>
      </c>
      <c r="D86" s="643">
        <f t="shared" si="58"/>
        <v>0</v>
      </c>
      <c r="E86" s="644">
        <v>0</v>
      </c>
      <c r="F86" s="645">
        <f t="shared" si="59"/>
        <v>0</v>
      </c>
      <c r="G86" s="646">
        <v>0</v>
      </c>
      <c r="H86" s="647">
        <v>0</v>
      </c>
      <c r="I86" s="648">
        <v>0</v>
      </c>
      <c r="J86" s="645">
        <f t="shared" si="60"/>
        <v>0</v>
      </c>
      <c r="K86" s="646">
        <v>0</v>
      </c>
      <c r="L86" s="647">
        <v>0</v>
      </c>
      <c r="M86" s="649">
        <v>0</v>
      </c>
      <c r="N86" s="650">
        <v>0</v>
      </c>
      <c r="O86" s="651">
        <v>0</v>
      </c>
      <c r="P86" s="652">
        <v>0</v>
      </c>
    </row>
    <row r="87" spans="2:17" s="1" customFormat="1" x14ac:dyDescent="0.25">
      <c r="B87" s="653" t="s">
        <v>474</v>
      </c>
      <c r="C87" s="642" t="s">
        <v>627</v>
      </c>
      <c r="D87" s="643">
        <f t="shared" si="58"/>
        <v>0</v>
      </c>
      <c r="E87" s="644">
        <v>0</v>
      </c>
      <c r="F87" s="645">
        <f t="shared" si="59"/>
        <v>0</v>
      </c>
      <c r="G87" s="646">
        <v>0</v>
      </c>
      <c r="H87" s="647">
        <v>0</v>
      </c>
      <c r="I87" s="648">
        <v>0</v>
      </c>
      <c r="J87" s="645">
        <f t="shared" si="60"/>
        <v>0</v>
      </c>
      <c r="K87" s="646">
        <v>0</v>
      </c>
      <c r="L87" s="647">
        <v>0</v>
      </c>
      <c r="M87" s="649">
        <v>0</v>
      </c>
      <c r="N87" s="650">
        <v>0</v>
      </c>
      <c r="O87" s="651">
        <v>0</v>
      </c>
      <c r="P87" s="652">
        <v>0</v>
      </c>
    </row>
    <row r="88" spans="2:17" s="1" customFormat="1" x14ac:dyDescent="0.25">
      <c r="B88" s="653" t="s">
        <v>478</v>
      </c>
      <c r="C88" s="642" t="s">
        <v>628</v>
      </c>
      <c r="D88" s="643">
        <f t="shared" si="58"/>
        <v>0</v>
      </c>
      <c r="E88" s="644">
        <v>0</v>
      </c>
      <c r="F88" s="645">
        <f t="shared" si="59"/>
        <v>0</v>
      </c>
      <c r="G88" s="646">
        <v>0</v>
      </c>
      <c r="H88" s="647">
        <v>0</v>
      </c>
      <c r="I88" s="648">
        <v>0</v>
      </c>
      <c r="J88" s="645">
        <f t="shared" si="60"/>
        <v>0</v>
      </c>
      <c r="K88" s="646">
        <v>0</v>
      </c>
      <c r="L88" s="647">
        <v>0</v>
      </c>
      <c r="M88" s="649">
        <v>0</v>
      </c>
      <c r="N88" s="650">
        <v>0</v>
      </c>
      <c r="O88" s="651">
        <v>0</v>
      </c>
      <c r="P88" s="652">
        <v>0</v>
      </c>
    </row>
    <row r="89" spans="2:17" s="1" customFormat="1" x14ac:dyDescent="0.25">
      <c r="B89" s="653" t="s">
        <v>494</v>
      </c>
      <c r="C89" s="642" t="s">
        <v>629</v>
      </c>
      <c r="D89" s="643">
        <f t="shared" si="58"/>
        <v>0</v>
      </c>
      <c r="E89" s="644">
        <v>0</v>
      </c>
      <c r="F89" s="645">
        <f t="shared" si="59"/>
        <v>0</v>
      </c>
      <c r="G89" s="646">
        <v>0</v>
      </c>
      <c r="H89" s="647">
        <v>0</v>
      </c>
      <c r="I89" s="648">
        <v>0</v>
      </c>
      <c r="J89" s="645">
        <f t="shared" si="60"/>
        <v>0</v>
      </c>
      <c r="K89" s="646">
        <v>0</v>
      </c>
      <c r="L89" s="647">
        <v>0</v>
      </c>
      <c r="M89" s="649">
        <v>0</v>
      </c>
      <c r="N89" s="650">
        <v>0</v>
      </c>
      <c r="O89" s="651">
        <v>0</v>
      </c>
      <c r="P89" s="652">
        <v>0</v>
      </c>
    </row>
    <row r="90" spans="2:17" s="1" customFormat="1" x14ac:dyDescent="0.25">
      <c r="B90" s="653" t="s">
        <v>495</v>
      </c>
      <c r="C90" s="642" t="s">
        <v>630</v>
      </c>
      <c r="D90" s="643">
        <f t="shared" si="58"/>
        <v>0</v>
      </c>
      <c r="E90" s="644">
        <v>0</v>
      </c>
      <c r="F90" s="645">
        <f t="shared" si="59"/>
        <v>0</v>
      </c>
      <c r="G90" s="646">
        <v>0</v>
      </c>
      <c r="H90" s="647">
        <v>0</v>
      </c>
      <c r="I90" s="648">
        <v>0</v>
      </c>
      <c r="J90" s="645">
        <f t="shared" si="60"/>
        <v>0</v>
      </c>
      <c r="K90" s="646">
        <v>0</v>
      </c>
      <c r="L90" s="647">
        <v>0</v>
      </c>
      <c r="M90" s="649">
        <v>0</v>
      </c>
      <c r="N90" s="650">
        <v>0</v>
      </c>
      <c r="O90" s="651">
        <v>0</v>
      </c>
      <c r="P90" s="652">
        <v>0</v>
      </c>
    </row>
    <row r="91" spans="2:17" s="1" customFormat="1" x14ac:dyDescent="0.25">
      <c r="B91" s="653" t="s">
        <v>631</v>
      </c>
      <c r="C91" s="642" t="s">
        <v>632</v>
      </c>
      <c r="D91" s="643">
        <f t="shared" si="58"/>
        <v>0</v>
      </c>
      <c r="E91" s="644">
        <v>0</v>
      </c>
      <c r="F91" s="645">
        <f t="shared" si="59"/>
        <v>0</v>
      </c>
      <c r="G91" s="646">
        <v>0</v>
      </c>
      <c r="H91" s="647">
        <v>0</v>
      </c>
      <c r="I91" s="648">
        <v>0</v>
      </c>
      <c r="J91" s="645">
        <f t="shared" si="60"/>
        <v>0</v>
      </c>
      <c r="K91" s="646">
        <v>0</v>
      </c>
      <c r="L91" s="647">
        <v>0</v>
      </c>
      <c r="M91" s="649">
        <v>0</v>
      </c>
      <c r="N91" s="650">
        <v>0</v>
      </c>
      <c r="O91" s="651">
        <v>0</v>
      </c>
      <c r="P91" s="652">
        <v>0</v>
      </c>
    </row>
    <row r="92" spans="2:17" s="1" customFormat="1" x14ac:dyDescent="0.25">
      <c r="B92" s="653" t="s">
        <v>633</v>
      </c>
      <c r="C92" s="642" t="s">
        <v>634</v>
      </c>
      <c r="D92" s="643">
        <f t="shared" si="58"/>
        <v>0</v>
      </c>
      <c r="E92" s="644">
        <v>0</v>
      </c>
      <c r="F92" s="645">
        <f t="shared" si="59"/>
        <v>0</v>
      </c>
      <c r="G92" s="646">
        <v>0</v>
      </c>
      <c r="H92" s="647">
        <v>0</v>
      </c>
      <c r="I92" s="648">
        <v>0</v>
      </c>
      <c r="J92" s="645">
        <f t="shared" si="60"/>
        <v>0</v>
      </c>
      <c r="K92" s="646">
        <v>0</v>
      </c>
      <c r="L92" s="647">
        <v>0</v>
      </c>
      <c r="M92" s="649">
        <v>0</v>
      </c>
      <c r="N92" s="650">
        <v>0</v>
      </c>
      <c r="O92" s="651">
        <v>0</v>
      </c>
      <c r="P92" s="652">
        <v>0</v>
      </c>
    </row>
    <row r="93" spans="2:17" s="1" customFormat="1" x14ac:dyDescent="0.25">
      <c r="B93" s="641" t="s">
        <v>635</v>
      </c>
      <c r="C93" s="642" t="s">
        <v>636</v>
      </c>
      <c r="D93" s="643">
        <f t="shared" si="58"/>
        <v>0</v>
      </c>
      <c r="E93" s="644">
        <v>0</v>
      </c>
      <c r="F93" s="645">
        <f t="shared" si="59"/>
        <v>0</v>
      </c>
      <c r="G93" s="646">
        <v>0</v>
      </c>
      <c r="H93" s="647">
        <v>0</v>
      </c>
      <c r="I93" s="648">
        <v>0</v>
      </c>
      <c r="J93" s="645">
        <f t="shared" si="60"/>
        <v>0</v>
      </c>
      <c r="K93" s="646">
        <v>0</v>
      </c>
      <c r="L93" s="647">
        <v>0</v>
      </c>
      <c r="M93" s="649">
        <v>0</v>
      </c>
      <c r="N93" s="650">
        <v>0</v>
      </c>
      <c r="O93" s="651">
        <v>0</v>
      </c>
      <c r="P93" s="652">
        <v>0</v>
      </c>
    </row>
    <row r="94" spans="2:17" s="1" customFormat="1" x14ac:dyDescent="0.25">
      <c r="B94" s="653" t="s">
        <v>637</v>
      </c>
      <c r="C94" s="654" t="s">
        <v>638</v>
      </c>
      <c r="D94" s="655">
        <f t="shared" si="58"/>
        <v>0</v>
      </c>
      <c r="E94" s="656">
        <v>0</v>
      </c>
      <c r="F94" s="657">
        <f t="shared" si="59"/>
        <v>0</v>
      </c>
      <c r="G94" s="658">
        <v>0</v>
      </c>
      <c r="H94" s="659">
        <v>0</v>
      </c>
      <c r="I94" s="660">
        <v>0</v>
      </c>
      <c r="J94" s="657">
        <f t="shared" si="60"/>
        <v>0</v>
      </c>
      <c r="K94" s="658">
        <v>0</v>
      </c>
      <c r="L94" s="659">
        <v>0</v>
      </c>
      <c r="M94" s="661">
        <v>0</v>
      </c>
      <c r="N94" s="662">
        <v>0</v>
      </c>
      <c r="O94" s="663">
        <v>0</v>
      </c>
      <c r="P94" s="664">
        <v>0</v>
      </c>
    </row>
    <row r="95" spans="2:17" s="1" customFormat="1" ht="15.75" thickBot="1" x14ac:dyDescent="0.3">
      <c r="B95" s="665" t="s">
        <v>639</v>
      </c>
      <c r="C95" s="666" t="s">
        <v>640</v>
      </c>
      <c r="D95" s="667">
        <f t="shared" si="58"/>
        <v>0</v>
      </c>
      <c r="E95" s="668">
        <v>0</v>
      </c>
      <c r="F95" s="669">
        <f t="shared" si="59"/>
        <v>0</v>
      </c>
      <c r="G95" s="670">
        <v>0</v>
      </c>
      <c r="H95" s="671">
        <v>0</v>
      </c>
      <c r="I95" s="672">
        <v>0</v>
      </c>
      <c r="J95" s="669">
        <f t="shared" si="60"/>
        <v>0</v>
      </c>
      <c r="K95" s="670">
        <v>0</v>
      </c>
      <c r="L95" s="671">
        <v>0</v>
      </c>
      <c r="M95" s="673">
        <v>0</v>
      </c>
      <c r="N95" s="668">
        <v>0</v>
      </c>
      <c r="O95" s="674">
        <v>0</v>
      </c>
      <c r="P95" s="675">
        <v>0</v>
      </c>
    </row>
    <row r="96" spans="2:17" s="1" customFormat="1" ht="16.5" thickTop="1" thickBot="1" x14ac:dyDescent="0.3">
      <c r="B96" s="489" t="s">
        <v>77</v>
      </c>
      <c r="C96" s="490" t="s">
        <v>641</v>
      </c>
      <c r="D96" s="676">
        <f t="shared" ref="D96:P96" si="61">D97+D101+D106+D108+D111+D114</f>
        <v>18.241859999999999</v>
      </c>
      <c r="E96" s="677">
        <f t="shared" si="61"/>
        <v>0</v>
      </c>
      <c r="F96" s="678">
        <f t="shared" si="61"/>
        <v>3.9170423645619703</v>
      </c>
      <c r="G96" s="679">
        <f t="shared" si="61"/>
        <v>3.0715489975148982</v>
      </c>
      <c r="H96" s="680">
        <f t="shared" si="61"/>
        <v>0</v>
      </c>
      <c r="I96" s="681">
        <f t="shared" si="61"/>
        <v>0.84549336704707212</v>
      </c>
      <c r="J96" s="678">
        <f t="shared" si="61"/>
        <v>5.0654811592153832</v>
      </c>
      <c r="K96" s="679">
        <f t="shared" si="61"/>
        <v>0</v>
      </c>
      <c r="L96" s="680">
        <f t="shared" si="61"/>
        <v>5.0654811592153832</v>
      </c>
      <c r="M96" s="682">
        <f t="shared" si="61"/>
        <v>0</v>
      </c>
      <c r="N96" s="677">
        <f t="shared" si="61"/>
        <v>0</v>
      </c>
      <c r="O96" s="683">
        <f t="shared" si="61"/>
        <v>2.5199474796245802</v>
      </c>
      <c r="P96" s="678">
        <f t="shared" si="61"/>
        <v>6.7393889965980645</v>
      </c>
      <c r="Q96" s="602"/>
    </row>
    <row r="97" spans="2:16" s="1" customFormat="1" ht="15.75" thickTop="1" x14ac:dyDescent="0.25">
      <c r="B97" s="499" t="s">
        <v>497</v>
      </c>
      <c r="C97" s="500" t="s">
        <v>8</v>
      </c>
      <c r="D97" s="684">
        <f>SUM(D98:D100)</f>
        <v>0</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0</v>
      </c>
      <c r="E101" s="685">
        <f>SUM(E102:E105)</f>
        <v>0</v>
      </c>
      <c r="F101" s="686">
        <f t="shared" si="62"/>
        <v>0</v>
      </c>
      <c r="G101" s="687">
        <f>SUM(G102:G105)</f>
        <v>0</v>
      </c>
      <c r="H101" s="688">
        <f>SUM(H102:H105)</f>
        <v>0</v>
      </c>
      <c r="I101" s="689">
        <f>SUM(I102:I105)</f>
        <v>0</v>
      </c>
      <c r="J101" s="686">
        <f t="shared" si="63"/>
        <v>0</v>
      </c>
      <c r="K101" s="687">
        <f t="shared" ref="K101:P101" si="67">SUM(K102:K105)</f>
        <v>0</v>
      </c>
      <c r="L101" s="688">
        <f t="shared" si="67"/>
        <v>0</v>
      </c>
      <c r="M101" s="690">
        <f t="shared" si="67"/>
        <v>0</v>
      </c>
      <c r="N101" s="685">
        <f t="shared" si="67"/>
        <v>0</v>
      </c>
      <c r="O101" s="691">
        <f t="shared" si="67"/>
        <v>0</v>
      </c>
      <c r="P101" s="686">
        <f t="shared" si="67"/>
        <v>0</v>
      </c>
    </row>
    <row r="102" spans="2:16" s="1" customFormat="1" x14ac:dyDescent="0.25">
      <c r="B102" s="509" t="s">
        <v>500</v>
      </c>
      <c r="C102" s="510" t="s">
        <v>17</v>
      </c>
      <c r="D102" s="692">
        <v>0</v>
      </c>
      <c r="E102" s="693">
        <f>IFERROR($D102*E122/100, 0)</f>
        <v>0</v>
      </c>
      <c r="F102" s="694">
        <f t="shared" si="62"/>
        <v>0</v>
      </c>
      <c r="G102" s="695">
        <f t="shared" ref="G102:I105" si="68">IFERROR($D102*G122/100, 0)</f>
        <v>0</v>
      </c>
      <c r="H102" s="696">
        <f t="shared" si="68"/>
        <v>0</v>
      </c>
      <c r="I102" s="697">
        <f t="shared" si="68"/>
        <v>0</v>
      </c>
      <c r="J102" s="694">
        <f t="shared" si="63"/>
        <v>0</v>
      </c>
      <c r="K102" s="695">
        <f t="shared" ref="K102:P105" si="69">IFERROR($D102*K122/100, 0)</f>
        <v>0</v>
      </c>
      <c r="L102" s="696">
        <f t="shared" si="69"/>
        <v>0</v>
      </c>
      <c r="M102" s="698">
        <f t="shared" si="69"/>
        <v>0</v>
      </c>
      <c r="N102" s="693">
        <f t="shared" si="69"/>
        <v>0</v>
      </c>
      <c r="O102" s="699">
        <f t="shared" si="69"/>
        <v>0</v>
      </c>
      <c r="P102" s="694">
        <f t="shared" si="69"/>
        <v>0</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v>
      </c>
      <c r="E106" s="685">
        <f>E107</f>
        <v>0</v>
      </c>
      <c r="F106" s="686">
        <f t="shared" si="62"/>
        <v>0</v>
      </c>
      <c r="G106" s="687">
        <f>G107</f>
        <v>0</v>
      </c>
      <c r="H106" s="688">
        <f>H107</f>
        <v>0</v>
      </c>
      <c r="I106" s="689">
        <f>I107</f>
        <v>0</v>
      </c>
      <c r="J106" s="686">
        <f t="shared" si="63"/>
        <v>0</v>
      </c>
      <c r="K106" s="687">
        <f t="shared" ref="K106:P106" si="70">K107</f>
        <v>0</v>
      </c>
      <c r="L106" s="688">
        <f t="shared" si="70"/>
        <v>0</v>
      </c>
      <c r="M106" s="690">
        <f t="shared" si="70"/>
        <v>0</v>
      </c>
      <c r="N106" s="685">
        <f t="shared" si="70"/>
        <v>0</v>
      </c>
      <c r="O106" s="691">
        <f t="shared" si="70"/>
        <v>0</v>
      </c>
      <c r="P106" s="686">
        <f t="shared" si="70"/>
        <v>0</v>
      </c>
    </row>
    <row r="107" spans="2:16" s="1" customFormat="1" x14ac:dyDescent="0.25">
      <c r="B107" s="509" t="s">
        <v>503</v>
      </c>
      <c r="C107" s="525" t="s">
        <v>647</v>
      </c>
      <c r="D107" s="692">
        <v>0</v>
      </c>
      <c r="E107" s="693">
        <f>IFERROR($D107*E126/100, 0)</f>
        <v>0</v>
      </c>
      <c r="F107" s="694">
        <f t="shared" si="62"/>
        <v>0</v>
      </c>
      <c r="G107" s="695">
        <f>IFERROR($D107*G126/100, 0)</f>
        <v>0</v>
      </c>
      <c r="H107" s="696">
        <f>IFERROR($D107*H126/100, 0)</f>
        <v>0</v>
      </c>
      <c r="I107" s="697">
        <f>IFERROR($D107*I126/100, 0)</f>
        <v>0</v>
      </c>
      <c r="J107" s="694">
        <f t="shared" si="63"/>
        <v>0</v>
      </c>
      <c r="K107" s="695">
        <f t="shared" ref="K107:P107" si="71">IFERROR($D107*K126/100, 0)</f>
        <v>0</v>
      </c>
      <c r="L107" s="696">
        <f t="shared" si="71"/>
        <v>0</v>
      </c>
      <c r="M107" s="698">
        <f t="shared" si="71"/>
        <v>0</v>
      </c>
      <c r="N107" s="693">
        <f t="shared" si="71"/>
        <v>0</v>
      </c>
      <c r="O107" s="699">
        <f t="shared" si="71"/>
        <v>0</v>
      </c>
      <c r="P107" s="694">
        <f t="shared" si="71"/>
        <v>0</v>
      </c>
    </row>
    <row r="108" spans="2:16" s="1" customFormat="1" x14ac:dyDescent="0.25">
      <c r="B108" s="499" t="s">
        <v>175</v>
      </c>
      <c r="C108" s="524" t="s">
        <v>33</v>
      </c>
      <c r="D108" s="684">
        <f>D109+D110</f>
        <v>13.31832</v>
      </c>
      <c r="E108" s="685">
        <f>E109+E110</f>
        <v>0</v>
      </c>
      <c r="F108" s="686">
        <f t="shared" si="62"/>
        <v>3.9170423645619703</v>
      </c>
      <c r="G108" s="687">
        <f>G109+G110</f>
        <v>3.0715489975148982</v>
      </c>
      <c r="H108" s="688">
        <f>H109+H110</f>
        <v>0</v>
      </c>
      <c r="I108" s="689">
        <f>I109+I110</f>
        <v>0.84549336704707212</v>
      </c>
      <c r="J108" s="686">
        <f t="shared" si="63"/>
        <v>5.0654811592153832</v>
      </c>
      <c r="K108" s="687">
        <f t="shared" ref="K108:P108" si="72">K109+K110</f>
        <v>0</v>
      </c>
      <c r="L108" s="688">
        <f t="shared" si="72"/>
        <v>5.0654811592153832</v>
      </c>
      <c r="M108" s="690">
        <f t="shared" si="72"/>
        <v>0</v>
      </c>
      <c r="N108" s="685">
        <f t="shared" si="72"/>
        <v>0</v>
      </c>
      <c r="O108" s="691">
        <f t="shared" si="72"/>
        <v>2.5199474796245802</v>
      </c>
      <c r="P108" s="686">
        <f t="shared" si="72"/>
        <v>1.8158489965980646</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13.31832</v>
      </c>
      <c r="E110" s="693">
        <f>IFERROR($D110*E128/100, 0)</f>
        <v>0</v>
      </c>
      <c r="F110" s="694">
        <f t="shared" si="62"/>
        <v>3.9170423645619703</v>
      </c>
      <c r="G110" s="695">
        <f t="shared" si="73"/>
        <v>3.0715489975148982</v>
      </c>
      <c r="H110" s="696">
        <f t="shared" si="73"/>
        <v>0</v>
      </c>
      <c r="I110" s="697">
        <f t="shared" si="73"/>
        <v>0.84549336704707212</v>
      </c>
      <c r="J110" s="694">
        <f t="shared" si="63"/>
        <v>5.0654811592153832</v>
      </c>
      <c r="K110" s="695">
        <f t="shared" si="74"/>
        <v>0</v>
      </c>
      <c r="L110" s="696">
        <f t="shared" si="74"/>
        <v>5.0654811592153832</v>
      </c>
      <c r="M110" s="698">
        <f t="shared" si="74"/>
        <v>0</v>
      </c>
      <c r="N110" s="693">
        <f t="shared" si="74"/>
        <v>0</v>
      </c>
      <c r="O110" s="699">
        <f t="shared" si="74"/>
        <v>2.5199474796245802</v>
      </c>
      <c r="P110" s="694">
        <f t="shared" si="74"/>
        <v>1.8158489965980646</v>
      </c>
    </row>
    <row r="111" spans="2:16" s="1" customFormat="1" x14ac:dyDescent="0.25">
      <c r="B111" s="499" t="s">
        <v>177</v>
      </c>
      <c r="C111" s="536" t="s">
        <v>39</v>
      </c>
      <c r="D111" s="700">
        <f>D112+D113</f>
        <v>4.92354</v>
      </c>
      <c r="E111" s="701">
        <f>E112+E113</f>
        <v>0</v>
      </c>
      <c r="F111" s="702">
        <f t="shared" si="62"/>
        <v>0</v>
      </c>
      <c r="G111" s="703">
        <f>G112+G113</f>
        <v>0</v>
      </c>
      <c r="H111" s="704">
        <f>H112+H113</f>
        <v>0</v>
      </c>
      <c r="I111" s="705">
        <f>I112+I113</f>
        <v>0</v>
      </c>
      <c r="J111" s="702">
        <f t="shared" si="63"/>
        <v>0</v>
      </c>
      <c r="K111" s="703">
        <f t="shared" ref="K111:P111" si="75">K112+K113</f>
        <v>0</v>
      </c>
      <c r="L111" s="704">
        <f t="shared" si="75"/>
        <v>0</v>
      </c>
      <c r="M111" s="706">
        <f t="shared" si="75"/>
        <v>0</v>
      </c>
      <c r="N111" s="701">
        <f t="shared" si="75"/>
        <v>0</v>
      </c>
      <c r="O111" s="707">
        <f t="shared" si="75"/>
        <v>0</v>
      </c>
      <c r="P111" s="702">
        <f t="shared" si="75"/>
        <v>4.92354</v>
      </c>
    </row>
    <row r="112" spans="2:16" s="1" customFormat="1" x14ac:dyDescent="0.25">
      <c r="B112" s="544" t="s">
        <v>648</v>
      </c>
      <c r="C112" s="545" t="s">
        <v>41</v>
      </c>
      <c r="D112" s="708">
        <v>4.92354</v>
      </c>
      <c r="E112" s="693">
        <f>IFERROR($D112*E129/100, 0)</f>
        <v>0</v>
      </c>
      <c r="F112" s="694">
        <f t="shared" si="62"/>
        <v>0</v>
      </c>
      <c r="G112" s="695">
        <f t="shared" ref="G112:I113" si="76">IFERROR($D112*G129/100, 0)</f>
        <v>0</v>
      </c>
      <c r="H112" s="696">
        <f t="shared" si="76"/>
        <v>0</v>
      </c>
      <c r="I112" s="697">
        <f t="shared" si="76"/>
        <v>0</v>
      </c>
      <c r="J112" s="694">
        <f t="shared" si="63"/>
        <v>0</v>
      </c>
      <c r="K112" s="695">
        <f t="shared" ref="K112:P113" si="77">IFERROR($D112*K129/100, 0)</f>
        <v>0</v>
      </c>
      <c r="L112" s="696">
        <f t="shared" si="77"/>
        <v>0</v>
      </c>
      <c r="M112" s="698">
        <f t="shared" si="77"/>
        <v>0</v>
      </c>
      <c r="N112" s="693">
        <f t="shared" si="77"/>
        <v>0</v>
      </c>
      <c r="O112" s="699">
        <f t="shared" si="77"/>
        <v>0</v>
      </c>
      <c r="P112" s="694">
        <f t="shared" si="77"/>
        <v>4.92354</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603</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0</v>
      </c>
      <c r="E119" s="716">
        <v>0</v>
      </c>
      <c r="F119" s="633">
        <f t="shared" ref="F119:F134" si="87">SUM(G119:I119)</f>
        <v>0</v>
      </c>
      <c r="G119" s="717">
        <v>0</v>
      </c>
      <c r="H119" s="718">
        <v>0</v>
      </c>
      <c r="I119" s="719">
        <v>0</v>
      </c>
      <c r="J119" s="633">
        <f t="shared" ref="J119:J134" si="88">SUM(K119:M119)</f>
        <v>0</v>
      </c>
      <c r="K119" s="717">
        <v>0</v>
      </c>
      <c r="L119" s="718">
        <v>0</v>
      </c>
      <c r="M119" s="720">
        <v>0</v>
      </c>
      <c r="N119" s="721">
        <v>0</v>
      </c>
      <c r="O119" s="722">
        <v>0</v>
      </c>
      <c r="P119" s="723">
        <v>0</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v>0</v>
      </c>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100</v>
      </c>
      <c r="E122" s="716">
        <v>0</v>
      </c>
      <c r="F122" s="645">
        <f t="shared" si="87"/>
        <v>17.80933979201755</v>
      </c>
      <c r="G122" s="724">
        <v>7.9261228070396745</v>
      </c>
      <c r="H122" s="725">
        <v>9.8832169849778744</v>
      </c>
      <c r="I122" s="726">
        <v>0</v>
      </c>
      <c r="J122" s="645">
        <f t="shared" si="88"/>
        <v>74.574766178435667</v>
      </c>
      <c r="K122" s="724">
        <v>36.592891359221177</v>
      </c>
      <c r="L122" s="725">
        <v>37.619545354505121</v>
      </c>
      <c r="M122" s="727">
        <v>0.36232946470936112</v>
      </c>
      <c r="N122" s="728">
        <v>0</v>
      </c>
      <c r="O122" s="729">
        <v>4.8077768329385133</v>
      </c>
      <c r="P122" s="730">
        <v>2.8081171966082636</v>
      </c>
    </row>
    <row r="123" spans="2:16" s="1" customFormat="1" x14ac:dyDescent="0.25">
      <c r="B123" s="641" t="s">
        <v>656</v>
      </c>
      <c r="C123" s="642" t="s">
        <v>657</v>
      </c>
      <c r="D123" s="643">
        <f t="shared" si="86"/>
        <v>100</v>
      </c>
      <c r="E123" s="716">
        <v>0</v>
      </c>
      <c r="F123" s="645">
        <f t="shared" si="87"/>
        <v>85.823129500638004</v>
      </c>
      <c r="G123" s="724">
        <v>85.823129500638004</v>
      </c>
      <c r="H123" s="725">
        <v>0</v>
      </c>
      <c r="I123" s="726">
        <v>0</v>
      </c>
      <c r="J123" s="645">
        <f t="shared" si="88"/>
        <v>6.5917740349582035</v>
      </c>
      <c r="K123" s="724">
        <v>0</v>
      </c>
      <c r="L123" s="725">
        <v>6.5917740349582035</v>
      </c>
      <c r="M123" s="727">
        <v>0</v>
      </c>
      <c r="N123" s="728">
        <v>0</v>
      </c>
      <c r="O123" s="729">
        <v>7.585096464403791</v>
      </c>
      <c r="P123" s="730">
        <v>0</v>
      </c>
    </row>
    <row r="124" spans="2:16" s="1" customFormat="1" x14ac:dyDescent="0.25">
      <c r="B124" s="641" t="s">
        <v>658</v>
      </c>
      <c r="C124" s="642" t="s">
        <v>659</v>
      </c>
      <c r="D124" s="643">
        <f t="shared" si="86"/>
        <v>100</v>
      </c>
      <c r="E124" s="716">
        <v>0</v>
      </c>
      <c r="F124" s="645">
        <f t="shared" si="87"/>
        <v>28.794533983588995</v>
      </c>
      <c r="G124" s="724">
        <v>0</v>
      </c>
      <c r="H124" s="725">
        <v>0</v>
      </c>
      <c r="I124" s="726">
        <v>28.794533983588995</v>
      </c>
      <c r="J124" s="645">
        <f t="shared" si="88"/>
        <v>39.124561853579863</v>
      </c>
      <c r="K124" s="724">
        <v>39.124561853579863</v>
      </c>
      <c r="L124" s="725">
        <v>0</v>
      </c>
      <c r="M124" s="727">
        <v>0</v>
      </c>
      <c r="N124" s="728">
        <v>0</v>
      </c>
      <c r="O124" s="729">
        <v>32.080904162831139</v>
      </c>
      <c r="P124" s="730">
        <v>0</v>
      </c>
    </row>
    <row r="125" spans="2:16" s="1" customFormat="1" x14ac:dyDescent="0.25">
      <c r="B125" s="641" t="s">
        <v>660</v>
      </c>
      <c r="C125" s="642" t="s">
        <v>661</v>
      </c>
      <c r="D125" s="643">
        <f t="shared" si="86"/>
        <v>100.00000000000001</v>
      </c>
      <c r="E125" s="716">
        <v>0</v>
      </c>
      <c r="F125" s="645">
        <f t="shared" si="87"/>
        <v>64.711171935726853</v>
      </c>
      <c r="G125" s="724">
        <v>24.62755668390113</v>
      </c>
      <c r="H125" s="725">
        <v>7.4437286256722874</v>
      </c>
      <c r="I125" s="726">
        <v>32.639886626153434</v>
      </c>
      <c r="J125" s="645">
        <f t="shared" si="88"/>
        <v>35.288828064273162</v>
      </c>
      <c r="K125" s="724">
        <v>13.065947469775246</v>
      </c>
      <c r="L125" s="725">
        <v>22.222880594497912</v>
      </c>
      <c r="M125" s="727">
        <v>0</v>
      </c>
      <c r="N125" s="728">
        <v>0</v>
      </c>
      <c r="O125" s="729">
        <v>0</v>
      </c>
      <c r="P125" s="730">
        <v>0</v>
      </c>
    </row>
    <row r="126" spans="2:16" s="1" customFormat="1" x14ac:dyDescent="0.25">
      <c r="B126" s="653" t="s">
        <v>662</v>
      </c>
      <c r="C126" s="642" t="s">
        <v>663</v>
      </c>
      <c r="D126" s="643">
        <f t="shared" si="86"/>
        <v>100</v>
      </c>
      <c r="E126" s="716">
        <v>0</v>
      </c>
      <c r="F126" s="645">
        <f t="shared" si="87"/>
        <v>3.4013804975218913</v>
      </c>
      <c r="G126" s="724">
        <v>1.8121773673040589</v>
      </c>
      <c r="H126" s="725">
        <v>1.5892031302178324</v>
      </c>
      <c r="I126" s="726">
        <v>0</v>
      </c>
      <c r="J126" s="645">
        <f t="shared" si="88"/>
        <v>1.1077969877507052</v>
      </c>
      <c r="K126" s="724">
        <v>0.76501995468990369</v>
      </c>
      <c r="L126" s="725">
        <v>0.34277703306080148</v>
      </c>
      <c r="M126" s="727">
        <v>0</v>
      </c>
      <c r="N126" s="728">
        <v>0</v>
      </c>
      <c r="O126" s="729">
        <v>95.490822514727398</v>
      </c>
      <c r="P126" s="730">
        <v>0</v>
      </c>
    </row>
    <row r="127" spans="2:16" s="1" customFormat="1" x14ac:dyDescent="0.25">
      <c r="B127" s="653" t="s">
        <v>664</v>
      </c>
      <c r="C127" s="642" t="s">
        <v>665</v>
      </c>
      <c r="D127" s="643">
        <f t="shared" si="86"/>
        <v>0</v>
      </c>
      <c r="E127" s="716">
        <v>0</v>
      </c>
      <c r="F127" s="645">
        <f t="shared" si="87"/>
        <v>0</v>
      </c>
      <c r="G127" s="724">
        <v>0</v>
      </c>
      <c r="H127" s="725">
        <v>0</v>
      </c>
      <c r="I127" s="726">
        <v>0</v>
      </c>
      <c r="J127" s="645">
        <f t="shared" si="88"/>
        <v>0</v>
      </c>
      <c r="K127" s="724">
        <v>0</v>
      </c>
      <c r="L127" s="725">
        <v>0</v>
      </c>
      <c r="M127" s="727">
        <v>0</v>
      </c>
      <c r="N127" s="728">
        <v>0</v>
      </c>
      <c r="O127" s="729">
        <v>0</v>
      </c>
      <c r="P127" s="730">
        <v>0</v>
      </c>
    </row>
    <row r="128" spans="2:16" s="1" customFormat="1" x14ac:dyDescent="0.25">
      <c r="B128" s="653" t="s">
        <v>666</v>
      </c>
      <c r="C128" s="642" t="s">
        <v>667</v>
      </c>
      <c r="D128" s="643">
        <f t="shared" si="86"/>
        <v>99.999999999999986</v>
      </c>
      <c r="E128" s="716">
        <v>0</v>
      </c>
      <c r="F128" s="645">
        <f t="shared" si="87"/>
        <v>29.410934446401427</v>
      </c>
      <c r="G128" s="724">
        <v>23.062585953144978</v>
      </c>
      <c r="H128" s="725">
        <v>0</v>
      </c>
      <c r="I128" s="726">
        <v>6.3483484932564478</v>
      </c>
      <c r="J128" s="645">
        <f t="shared" si="88"/>
        <v>38.033934904818196</v>
      </c>
      <c r="K128" s="724">
        <v>0</v>
      </c>
      <c r="L128" s="725">
        <v>38.033934904818196</v>
      </c>
      <c r="M128" s="727">
        <v>0</v>
      </c>
      <c r="N128" s="728">
        <v>0</v>
      </c>
      <c r="O128" s="729">
        <v>18.920911043018791</v>
      </c>
      <c r="P128" s="730">
        <v>13.634219605761572</v>
      </c>
    </row>
    <row r="129" spans="2:16" s="1" customFormat="1" x14ac:dyDescent="0.25">
      <c r="B129" s="653" t="s">
        <v>668</v>
      </c>
      <c r="C129" s="642" t="s">
        <v>669</v>
      </c>
      <c r="D129" s="643">
        <f t="shared" si="86"/>
        <v>100</v>
      </c>
      <c r="E129" s="716">
        <v>0</v>
      </c>
      <c r="F129" s="645">
        <f t="shared" si="87"/>
        <v>0</v>
      </c>
      <c r="G129" s="724">
        <v>0</v>
      </c>
      <c r="H129" s="725">
        <v>0</v>
      </c>
      <c r="I129" s="726">
        <v>0</v>
      </c>
      <c r="J129" s="645">
        <f t="shared" si="88"/>
        <v>0</v>
      </c>
      <c r="K129" s="724">
        <v>0</v>
      </c>
      <c r="L129" s="725">
        <v>0</v>
      </c>
      <c r="M129" s="727">
        <v>0</v>
      </c>
      <c r="N129" s="728">
        <v>0</v>
      </c>
      <c r="O129" s="729">
        <v>0</v>
      </c>
      <c r="P129" s="730">
        <v>100</v>
      </c>
    </row>
    <row r="130" spans="2:16" s="1" customFormat="1" x14ac:dyDescent="0.25">
      <c r="B130" s="641" t="s">
        <v>670</v>
      </c>
      <c r="C130" s="642" t="s">
        <v>671</v>
      </c>
      <c r="D130" s="643">
        <f t="shared" si="86"/>
        <v>100</v>
      </c>
      <c r="E130" s="716">
        <v>0</v>
      </c>
      <c r="F130" s="645">
        <f t="shared" si="87"/>
        <v>76.378114231398854</v>
      </c>
      <c r="G130" s="724">
        <v>0</v>
      </c>
      <c r="H130" s="725">
        <v>0</v>
      </c>
      <c r="I130" s="726">
        <v>76.378114231398854</v>
      </c>
      <c r="J130" s="645">
        <f t="shared" si="88"/>
        <v>0</v>
      </c>
      <c r="K130" s="724">
        <v>0</v>
      </c>
      <c r="L130" s="725">
        <v>0</v>
      </c>
      <c r="M130" s="727">
        <v>0</v>
      </c>
      <c r="N130" s="728">
        <v>0</v>
      </c>
      <c r="O130" s="729">
        <v>15.061871855413941</v>
      </c>
      <c r="P130" s="730">
        <v>8.5600139131871984</v>
      </c>
    </row>
    <row r="131" spans="2:16" s="1" customFormat="1" x14ac:dyDescent="0.25">
      <c r="B131" s="653" t="s">
        <v>672</v>
      </c>
      <c r="C131" s="642" t="s">
        <v>673</v>
      </c>
      <c r="D131" s="643">
        <f t="shared" si="86"/>
        <v>0</v>
      </c>
      <c r="E131" s="716">
        <v>0</v>
      </c>
      <c r="F131" s="645">
        <f t="shared" si="87"/>
        <v>0</v>
      </c>
      <c r="G131" s="724">
        <v>0</v>
      </c>
      <c r="H131" s="725">
        <v>0</v>
      </c>
      <c r="I131" s="726">
        <v>0</v>
      </c>
      <c r="J131" s="645">
        <f t="shared" si="88"/>
        <v>0</v>
      </c>
      <c r="K131" s="724">
        <v>0</v>
      </c>
      <c r="L131" s="725">
        <v>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v>0</v>
      </c>
      <c r="O133" s="749">
        <v>0</v>
      </c>
      <c r="P133" s="750">
        <v>0</v>
      </c>
    </row>
    <row r="134" spans="2:16" s="1" customFormat="1" ht="26.25" thickBot="1" x14ac:dyDescent="0.3">
      <c r="B134" s="751" t="s">
        <v>81</v>
      </c>
      <c r="C134" s="752" t="s">
        <v>678</v>
      </c>
      <c r="D134" s="753">
        <f t="shared" si="86"/>
        <v>100</v>
      </c>
      <c r="E134" s="754">
        <f>IFERROR(E96/$D$96*100, 0)</f>
        <v>0</v>
      </c>
      <c r="F134" s="755">
        <f t="shared" si="87"/>
        <v>21.472823300704921</v>
      </c>
      <c r="G134" s="756">
        <f>IFERROR(G96/$D$96*100, 0)</f>
        <v>16.837915637522151</v>
      </c>
      <c r="H134" s="757">
        <f>IFERROR(H96/$D$96*100, 0)</f>
        <v>0</v>
      </c>
      <c r="I134" s="758">
        <f>IFERROR(I96/$D$96*100, 0)</f>
        <v>4.6349076631827684</v>
      </c>
      <c r="J134" s="755">
        <f t="shared" si="88"/>
        <v>27.768446634363947</v>
      </c>
      <c r="K134" s="756">
        <f t="shared" ref="K134:P134" si="89">IFERROR(K96/$D$96*100, 0)</f>
        <v>0</v>
      </c>
      <c r="L134" s="757">
        <f t="shared" si="89"/>
        <v>27.768446634363947</v>
      </c>
      <c r="M134" s="759">
        <f t="shared" si="89"/>
        <v>0</v>
      </c>
      <c r="N134" s="755">
        <f t="shared" si="89"/>
        <v>0</v>
      </c>
      <c r="O134" s="760">
        <f t="shared" si="89"/>
        <v>13.81409285908663</v>
      </c>
      <c r="P134" s="755">
        <f t="shared" si="89"/>
        <v>36.944637205844494</v>
      </c>
    </row>
  </sheetData>
  <sheetProtection algorithmName="SHA-512" hashValue="B7OKzhT6DZv+Iz+YtwA+fKjrK96iY3N5dX7AVGrTVuwUM8wKonxh3FKj0ai47TTQyaT39CdSulV6bSXGYIDH2Q==" saltValue="LW9Vk+/v8qUGMx27EG4oeX8GBDYYLT7vriGDG5ppOLwMSuVBxsBYhjGMourBGRjCZYq66nWBj3ctqqLUqjPH+g=="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zoomScale="80" zoomScaleNormal="80" workbookViewId="0">
      <selection activeCell="E26" sqref="E26"/>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0" t="s">
        <v>0</v>
      </c>
      <c r="B1" s="1331"/>
      <c r="C1" s="1331"/>
      <c r="D1" s="1331"/>
      <c r="E1" s="1331"/>
      <c r="F1" s="1332"/>
    </row>
    <row r="2" spans="1:8" s="1" customFormat="1" x14ac:dyDescent="0.25">
      <c r="A2" s="1330" t="s">
        <v>1</v>
      </c>
      <c r="B2" s="1331"/>
      <c r="C2" s="1331"/>
      <c r="D2" s="1331"/>
      <c r="E2" s="1331"/>
      <c r="F2" s="1332"/>
    </row>
    <row r="3" spans="1:8" s="1" customFormat="1" x14ac:dyDescent="0.25">
      <c r="A3" s="1333"/>
      <c r="B3" s="1334"/>
      <c r="C3" s="1334"/>
      <c r="D3" s="1334"/>
      <c r="E3" s="1334"/>
      <c r="F3" s="1335"/>
    </row>
    <row r="4" spans="1:8" s="1" customFormat="1" x14ac:dyDescent="0.25">
      <c r="A4" s="764"/>
      <c r="B4" s="765"/>
      <c r="C4" s="765"/>
      <c r="D4" s="765"/>
      <c r="E4" s="766"/>
      <c r="F4" s="765"/>
    </row>
    <row r="5" spans="1:8" s="1" customFormat="1" x14ac:dyDescent="0.25">
      <c r="A5" s="1336" t="s">
        <v>679</v>
      </c>
      <c r="B5" s="1337"/>
      <c r="C5" s="1337"/>
      <c r="D5" s="1337"/>
      <c r="E5" s="1337"/>
      <c r="F5" s="1338"/>
    </row>
    <row r="6" spans="1:8" s="1" customFormat="1" x14ac:dyDescent="0.25">
      <c r="A6" s="764"/>
      <c r="B6" s="765"/>
      <c r="C6" s="765"/>
      <c r="D6" s="765"/>
      <c r="E6" s="766"/>
      <c r="F6" s="765"/>
    </row>
    <row r="8" spans="1:8" s="1" customFormat="1" ht="15.75" thickBot="1" x14ac:dyDescent="0.3">
      <c r="B8" s="1329" t="s">
        <v>680</v>
      </c>
      <c r="C8" s="1329"/>
      <c r="D8" s="1329"/>
      <c r="E8" s="1329"/>
      <c r="F8" s="1329"/>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432.20100000000002</v>
      </c>
      <c r="F10" s="777" t="s">
        <v>687</v>
      </c>
      <c r="G10" s="772"/>
      <c r="H10" s="778"/>
    </row>
    <row r="11" spans="1:8" s="1" customFormat="1" x14ac:dyDescent="0.25">
      <c r="B11" s="779" t="s">
        <v>98</v>
      </c>
      <c r="C11" s="780" t="s">
        <v>688</v>
      </c>
      <c r="D11" s="781" t="s">
        <v>686</v>
      </c>
      <c r="E11" s="782">
        <f>SUM(E12:E18)</f>
        <v>16.991</v>
      </c>
      <c r="F11" s="783" t="s">
        <v>687</v>
      </c>
      <c r="G11" s="772"/>
    </row>
    <row r="12" spans="1:8" s="1" customFormat="1" x14ac:dyDescent="0.25">
      <c r="B12" s="784" t="s">
        <v>689</v>
      </c>
      <c r="C12" s="785" t="s">
        <v>690</v>
      </c>
      <c r="D12" s="786" t="s">
        <v>686</v>
      </c>
      <c r="E12" s="787">
        <v>0</v>
      </c>
      <c r="F12" s="783" t="s">
        <v>687</v>
      </c>
      <c r="G12" s="772"/>
    </row>
    <row r="13" spans="1:8" s="1" customFormat="1" x14ac:dyDescent="0.25">
      <c r="B13" s="784" t="s">
        <v>691</v>
      </c>
      <c r="C13" s="785" t="s">
        <v>692</v>
      </c>
      <c r="D13" s="786" t="s">
        <v>686</v>
      </c>
      <c r="E13" s="787">
        <v>0</v>
      </c>
      <c r="F13" s="783" t="s">
        <v>687</v>
      </c>
      <c r="G13" s="772"/>
    </row>
    <row r="14" spans="1:8" s="1" customFormat="1" x14ac:dyDescent="0.25">
      <c r="B14" s="784" t="s">
        <v>693</v>
      </c>
      <c r="C14" s="785" t="s">
        <v>694</v>
      </c>
      <c r="D14" s="786" t="s">
        <v>686</v>
      </c>
      <c r="E14" s="787">
        <v>0</v>
      </c>
      <c r="F14" s="783" t="s">
        <v>687</v>
      </c>
      <c r="G14" s="772"/>
    </row>
    <row r="15" spans="1:8" s="1" customFormat="1" x14ac:dyDescent="0.25">
      <c r="B15" s="784" t="s">
        <v>695</v>
      </c>
      <c r="C15" s="785" t="s">
        <v>696</v>
      </c>
      <c r="D15" s="786" t="s">
        <v>686</v>
      </c>
      <c r="E15" s="787">
        <v>0</v>
      </c>
      <c r="F15" s="783" t="s">
        <v>687</v>
      </c>
      <c r="G15" s="772"/>
    </row>
    <row r="16" spans="1:8" s="1" customFormat="1" x14ac:dyDescent="0.25">
      <c r="B16" s="784" t="s">
        <v>697</v>
      </c>
      <c r="C16" s="785" t="s">
        <v>698</v>
      </c>
      <c r="D16" s="786" t="s">
        <v>686</v>
      </c>
      <c r="E16" s="787">
        <v>15.013999999999999</v>
      </c>
      <c r="F16" s="783" t="s">
        <v>687</v>
      </c>
      <c r="G16" s="772"/>
    </row>
    <row r="17" spans="2:8" s="1" customFormat="1" x14ac:dyDescent="0.25">
      <c r="B17" s="784" t="s">
        <v>699</v>
      </c>
      <c r="C17" s="785" t="s">
        <v>700</v>
      </c>
      <c r="D17" s="786" t="s">
        <v>686</v>
      </c>
      <c r="E17" s="787">
        <v>1.9770000000000001</v>
      </c>
      <c r="F17" s="783" t="s">
        <v>687</v>
      </c>
      <c r="G17" s="772"/>
    </row>
    <row r="18" spans="2:8" s="1" customFormat="1" ht="15.75" thickBot="1" x14ac:dyDescent="0.3">
      <c r="B18" s="784" t="s">
        <v>701</v>
      </c>
      <c r="C18" s="788" t="s">
        <v>702</v>
      </c>
      <c r="D18" s="786" t="s">
        <v>686</v>
      </c>
      <c r="E18" s="789">
        <v>0</v>
      </c>
      <c r="F18" s="790" t="s">
        <v>687</v>
      </c>
      <c r="G18" s="772"/>
    </row>
    <row r="19" spans="2:8" s="1" customFormat="1" ht="27" x14ac:dyDescent="0.25">
      <c r="B19" s="779" t="s">
        <v>100</v>
      </c>
      <c r="C19" s="791" t="s">
        <v>703</v>
      </c>
      <c r="D19" s="792" t="s">
        <v>686</v>
      </c>
      <c r="E19" s="777">
        <f>SUM(E20:E26)</f>
        <v>415.21000000000004</v>
      </c>
      <c r="F19" s="793" t="s">
        <v>687</v>
      </c>
      <c r="G19" s="772"/>
    </row>
    <row r="20" spans="2:8" s="1" customFormat="1" x14ac:dyDescent="0.25">
      <c r="B20" s="784" t="s">
        <v>704</v>
      </c>
      <c r="C20" s="785" t="s">
        <v>690</v>
      </c>
      <c r="D20" s="784" t="s">
        <v>686</v>
      </c>
      <c r="E20" s="794">
        <v>145.155</v>
      </c>
      <c r="F20" s="795" t="s">
        <v>687</v>
      </c>
      <c r="G20" s="772"/>
    </row>
    <row r="21" spans="2:8" s="1" customFormat="1" x14ac:dyDescent="0.25">
      <c r="B21" s="784" t="s">
        <v>705</v>
      </c>
      <c r="C21" s="785" t="s">
        <v>692</v>
      </c>
      <c r="D21" s="784" t="s">
        <v>686</v>
      </c>
      <c r="E21" s="794">
        <v>20.818999999999999</v>
      </c>
      <c r="F21" s="795" t="s">
        <v>687</v>
      </c>
      <c r="G21" s="772"/>
    </row>
    <row r="22" spans="2:8" s="1" customFormat="1" x14ac:dyDescent="0.25">
      <c r="B22" s="784" t="s">
        <v>706</v>
      </c>
      <c r="C22" s="785" t="s">
        <v>694</v>
      </c>
      <c r="D22" s="784" t="s">
        <v>686</v>
      </c>
      <c r="E22" s="794">
        <v>1.36</v>
      </c>
      <c r="F22" s="795" t="s">
        <v>687</v>
      </c>
      <c r="G22" s="772"/>
    </row>
    <row r="23" spans="2:8" s="1" customFormat="1" x14ac:dyDescent="0.25">
      <c r="B23" s="784" t="s">
        <v>707</v>
      </c>
      <c r="C23" s="785" t="s">
        <v>696</v>
      </c>
      <c r="D23" s="784" t="s">
        <v>686</v>
      </c>
      <c r="E23" s="794">
        <v>67</v>
      </c>
      <c r="F23" s="795" t="s">
        <v>687</v>
      </c>
      <c r="G23" s="772"/>
    </row>
    <row r="24" spans="2:8" s="1" customFormat="1" x14ac:dyDescent="0.25">
      <c r="B24" s="784" t="s">
        <v>708</v>
      </c>
      <c r="C24" s="785" t="s">
        <v>698</v>
      </c>
      <c r="D24" s="784" t="s">
        <v>686</v>
      </c>
      <c r="E24" s="794">
        <v>178.881</v>
      </c>
      <c r="F24" s="795" t="s">
        <v>687</v>
      </c>
      <c r="G24" s="772"/>
    </row>
    <row r="25" spans="2:8" s="1" customFormat="1" x14ac:dyDescent="0.25">
      <c r="B25" s="784" t="s">
        <v>709</v>
      </c>
      <c r="C25" s="785" t="s">
        <v>700</v>
      </c>
      <c r="D25" s="784" t="s">
        <v>686</v>
      </c>
      <c r="E25" s="794">
        <v>1.9950000000000001</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450.14209282829546</v>
      </c>
      <c r="F27" s="800"/>
      <c r="G27" s="772"/>
    </row>
    <row r="28" spans="2:8" s="1" customFormat="1" x14ac:dyDescent="0.25">
      <c r="B28" s="773" t="s">
        <v>138</v>
      </c>
      <c r="C28" s="801" t="s">
        <v>712</v>
      </c>
      <c r="D28" s="773" t="s">
        <v>686</v>
      </c>
      <c r="E28" s="802">
        <f>E29+E30+E31</f>
        <v>167.334</v>
      </c>
      <c r="F28" s="793" t="s">
        <v>687</v>
      </c>
      <c r="G28" s="772"/>
    </row>
    <row r="29" spans="2:8" s="1" customFormat="1" x14ac:dyDescent="0.25">
      <c r="B29" s="779" t="s">
        <v>713</v>
      </c>
      <c r="C29" s="803" t="s">
        <v>690</v>
      </c>
      <c r="D29" s="779" t="s">
        <v>686</v>
      </c>
      <c r="E29" s="804">
        <f>E12+E20</f>
        <v>145.155</v>
      </c>
      <c r="F29" s="793" t="s">
        <v>687</v>
      </c>
      <c r="G29" s="772"/>
    </row>
    <row r="30" spans="2:8" s="1" customFormat="1" x14ac:dyDescent="0.25">
      <c r="B30" s="779" t="s">
        <v>714</v>
      </c>
      <c r="C30" s="803" t="s">
        <v>692</v>
      </c>
      <c r="D30" s="779" t="s">
        <v>686</v>
      </c>
      <c r="E30" s="804">
        <f>E13+E21</f>
        <v>20.818999999999999</v>
      </c>
      <c r="F30" s="793" t="s">
        <v>687</v>
      </c>
      <c r="G30" s="772"/>
    </row>
    <row r="31" spans="2:8" s="1" customFormat="1" ht="15.75" thickBot="1" x14ac:dyDescent="0.3">
      <c r="B31" s="805" t="s">
        <v>715</v>
      </c>
      <c r="C31" s="806" t="s">
        <v>694</v>
      </c>
      <c r="D31" s="805" t="s">
        <v>686</v>
      </c>
      <c r="E31" s="804">
        <f t="shared" ref="E31" si="0">E14+E22</f>
        <v>1.36</v>
      </c>
      <c r="F31" s="807" t="s">
        <v>687</v>
      </c>
    </row>
    <row r="32" spans="2:8" s="1" customFormat="1" ht="21" customHeight="1" x14ac:dyDescent="0.25">
      <c r="B32" s="773" t="s">
        <v>140</v>
      </c>
      <c r="C32" s="808" t="s">
        <v>716</v>
      </c>
      <c r="D32" s="773" t="s">
        <v>686</v>
      </c>
      <c r="E32" s="802">
        <f>E33+E34+E35</f>
        <v>264.86699999999996</v>
      </c>
      <c r="F32" s="809" t="s">
        <v>687</v>
      </c>
    </row>
    <row r="33" spans="2:6" s="1" customFormat="1" x14ac:dyDescent="0.25">
      <c r="B33" s="779" t="s">
        <v>717</v>
      </c>
      <c r="C33" s="803" t="s">
        <v>718</v>
      </c>
      <c r="D33" s="779" t="s">
        <v>686</v>
      </c>
      <c r="E33" s="810">
        <f>E15+E23</f>
        <v>67</v>
      </c>
      <c r="F33" s="795" t="s">
        <v>687</v>
      </c>
    </row>
    <row r="34" spans="2:6" s="1" customFormat="1" x14ac:dyDescent="0.25">
      <c r="B34" s="779" t="s">
        <v>719</v>
      </c>
      <c r="C34" s="803" t="s">
        <v>698</v>
      </c>
      <c r="D34" s="779" t="s">
        <v>686</v>
      </c>
      <c r="E34" s="810">
        <f t="shared" ref="E34" si="1">E16+E24</f>
        <v>193.89500000000001</v>
      </c>
      <c r="F34" s="795" t="s">
        <v>687</v>
      </c>
    </row>
    <row r="35" spans="2:6" s="1" customFormat="1" ht="15.75" thickBot="1" x14ac:dyDescent="0.3">
      <c r="B35" s="805" t="s">
        <v>720</v>
      </c>
      <c r="C35" s="806" t="s">
        <v>700</v>
      </c>
      <c r="D35" s="805" t="s">
        <v>686</v>
      </c>
      <c r="E35" s="810">
        <f>E17+E25</f>
        <v>3.9720000000000004</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0</v>
      </c>
      <c r="F37" s="813" t="s">
        <v>687</v>
      </c>
    </row>
    <row r="38" spans="2:6" s="1" customFormat="1" ht="15.75" thickBot="1" x14ac:dyDescent="0.3">
      <c r="B38" s="767" t="s">
        <v>724</v>
      </c>
      <c r="C38" s="815" t="s">
        <v>725</v>
      </c>
      <c r="D38" s="767" t="s">
        <v>686</v>
      </c>
      <c r="E38" s="816">
        <v>17.941092828295506</v>
      </c>
      <c r="F38" s="813" t="s">
        <v>726</v>
      </c>
    </row>
    <row r="39" spans="2:6" s="1" customFormat="1" ht="15.75" thickBot="1" x14ac:dyDescent="0.3">
      <c r="B39" s="817" t="s">
        <v>59</v>
      </c>
      <c r="C39" s="818" t="s">
        <v>727</v>
      </c>
      <c r="D39" s="817" t="s">
        <v>686</v>
      </c>
      <c r="E39" s="819">
        <v>145.90190717170449</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596.04399999999998</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0.48230098735174187</v>
      </c>
      <c r="F43" s="777"/>
    </row>
    <row r="44" spans="2:6" s="1" customFormat="1" x14ac:dyDescent="0.25">
      <c r="B44" s="779" t="s">
        <v>734</v>
      </c>
      <c r="C44" s="803" t="s">
        <v>735</v>
      </c>
      <c r="D44" s="827" t="s">
        <v>736</v>
      </c>
      <c r="E44" s="804">
        <f>VAS078_F_Vidutinissvert1AtaskaitinisLaikotarpis</f>
        <v>103</v>
      </c>
      <c r="F44" s="804" t="s">
        <v>737</v>
      </c>
    </row>
    <row r="45" spans="2:6" s="1" customFormat="1" x14ac:dyDescent="0.25">
      <c r="B45" s="805" t="s">
        <v>738</v>
      </c>
      <c r="C45" s="806" t="s">
        <v>739</v>
      </c>
      <c r="D45" s="828" t="s">
        <v>736</v>
      </c>
      <c r="E45" s="829">
        <f>VAS078_F_Vidutinissvert3AtaskaitinisLaikotarpis</f>
        <v>29</v>
      </c>
      <c r="F45" s="829" t="s">
        <v>737</v>
      </c>
    </row>
    <row r="46" spans="2:6" s="1" customFormat="1" ht="15.75" thickBot="1" x14ac:dyDescent="0.3">
      <c r="B46" s="779" t="s">
        <v>740</v>
      </c>
      <c r="C46" s="803" t="s">
        <v>741</v>
      </c>
      <c r="D46" s="779" t="s">
        <v>742</v>
      </c>
      <c r="E46" s="804">
        <f>VAS077_F_Patiektogeriam1AtaskaitinisLaikotarpis</f>
        <v>171.62899999999999</v>
      </c>
      <c r="F46" s="804" t="s">
        <v>743</v>
      </c>
    </row>
    <row r="47" spans="2:6" s="5" customFormat="1" x14ac:dyDescent="0.25">
      <c r="B47" s="773" t="s">
        <v>744</v>
      </c>
      <c r="C47" s="801" t="s">
        <v>745</v>
      </c>
      <c r="D47" s="773" t="s">
        <v>746</v>
      </c>
      <c r="E47" s="826">
        <f>IF(E48=0,"0",E21/E49)</f>
        <v>0.12374363272171798</v>
      </c>
      <c r="F47" s="777"/>
    </row>
    <row r="48" spans="2:6" s="1" customFormat="1" x14ac:dyDescent="0.25">
      <c r="B48" s="779" t="s">
        <v>747</v>
      </c>
      <c r="C48" s="803" t="s">
        <v>748</v>
      </c>
      <c r="D48" s="827" t="s">
        <v>736</v>
      </c>
      <c r="E48" s="804">
        <f>VAS078_F_Vidutinissvert2AtaskaitinisLaikotarpis</f>
        <v>45</v>
      </c>
      <c r="F48" s="804" t="s">
        <v>737</v>
      </c>
    </row>
    <row r="49" spans="2:6" s="1" customFormat="1" ht="15.75" thickBot="1" x14ac:dyDescent="0.3">
      <c r="B49" s="779" t="s">
        <v>749</v>
      </c>
      <c r="C49" s="803" t="s">
        <v>750</v>
      </c>
      <c r="D49" s="779" t="s">
        <v>742</v>
      </c>
      <c r="E49" s="804">
        <f>VAS077_F_Paruostogeriam1AtaskaitinisLaikotarpis</f>
        <v>168.24299999999999</v>
      </c>
      <c r="F49" s="804" t="s">
        <v>743</v>
      </c>
    </row>
    <row r="50" spans="2:6" s="5" customFormat="1" x14ac:dyDescent="0.25">
      <c r="B50" s="773" t="s">
        <v>751</v>
      </c>
      <c r="C50" s="801" t="s">
        <v>752</v>
      </c>
      <c r="D50" s="773" t="s">
        <v>733</v>
      </c>
      <c r="E50" s="826">
        <f>IF(E51=0,"0",((E23*100)/E53)/E51)</f>
        <v>1.8257936684200644</v>
      </c>
      <c r="F50" s="777"/>
    </row>
    <row r="51" spans="2:6" s="1" customFormat="1" x14ac:dyDescent="0.25">
      <c r="B51" s="779" t="s">
        <v>753</v>
      </c>
      <c r="C51" s="803" t="s">
        <v>754</v>
      </c>
      <c r="D51" s="827" t="s">
        <v>736</v>
      </c>
      <c r="E51" s="804">
        <f>VAS078_F_Vidutinissvert4AtaskaitinisLaikotarpis</f>
        <v>17</v>
      </c>
      <c r="F51" s="804" t="s">
        <v>737</v>
      </c>
    </row>
    <row r="52" spans="2:6" s="1" customFormat="1" x14ac:dyDescent="0.25">
      <c r="B52" s="779" t="s">
        <v>755</v>
      </c>
      <c r="C52" s="803" t="s">
        <v>756</v>
      </c>
      <c r="D52" s="779" t="s">
        <v>742</v>
      </c>
      <c r="E52" s="804">
        <f>VAS077_F_Surinktabuitin1AtaskaitinisLaikotarpis</f>
        <v>227.58750999999998</v>
      </c>
      <c r="F52" s="804" t="s">
        <v>743</v>
      </c>
    </row>
    <row r="53" spans="2:6" s="5" customFormat="1" ht="15.75" thickBot="1" x14ac:dyDescent="0.3">
      <c r="B53" s="779" t="s">
        <v>757</v>
      </c>
      <c r="C53" s="803" t="s">
        <v>758</v>
      </c>
      <c r="D53" s="779" t="s">
        <v>742</v>
      </c>
      <c r="E53" s="804">
        <f>VAS077_F_Perpumpuotasbu1AtaskaitinisLaikotarpis</f>
        <v>215.86099999999999</v>
      </c>
      <c r="F53" s="804" t="s">
        <v>743</v>
      </c>
    </row>
    <row r="54" spans="2:6" s="5" customFormat="1" x14ac:dyDescent="0.25">
      <c r="B54" s="773" t="s">
        <v>759</v>
      </c>
      <c r="C54" s="801" t="s">
        <v>760</v>
      </c>
      <c r="D54" s="773" t="s">
        <v>761</v>
      </c>
      <c r="E54" s="826">
        <f>IF(E55=0,"0",((E24*1000)/E55))</f>
        <v>2776.8133790069805</v>
      </c>
      <c r="F54" s="777"/>
    </row>
    <row r="55" spans="2:6" s="1" customFormat="1" ht="15.75" thickBot="1" x14ac:dyDescent="0.3">
      <c r="B55" s="779" t="s">
        <v>762</v>
      </c>
      <c r="C55" s="803" t="s">
        <v>763</v>
      </c>
      <c r="D55" s="827" t="s">
        <v>764</v>
      </c>
      <c r="E55" s="804">
        <f>VAS078_F_Pagalbiochemin3AtaskaitinisLaikotarpis</f>
        <v>64.419525399999998</v>
      </c>
      <c r="F55" s="804" t="s">
        <v>737</v>
      </c>
    </row>
    <row r="56" spans="2:6" s="1" customFormat="1" x14ac:dyDescent="0.25">
      <c r="B56" s="773" t="s">
        <v>765</v>
      </c>
      <c r="C56" s="801" t="s">
        <v>766</v>
      </c>
      <c r="D56" s="773" t="s">
        <v>767</v>
      </c>
      <c r="E56" s="777">
        <f>IFERROR(E57/(E27-E40), 0)</f>
        <v>9.8526466879242616E-2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44.350910000000006</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qXyxtbbkNpQBSLp1MyD0QfV8n9tHuLeC0DOfomhDCj5g3XW47m/nh9U3FRqo96MOFjo1oYd52w335d4QXodXcw==" saltValue="2K03pPyW9QuT/BMCEsrlGcWxtKhlN91NWg6ECHeNjp/2cOjWd9hVNeoMT1Mkk9xj3qchVCh97pDmVRAmQlJYjg=="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46"/>
  <sheetViews>
    <sheetView zoomScale="80" zoomScaleNormal="80" workbookViewId="0">
      <selection activeCell="E18" sqref="E18:E25"/>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0" t="s">
        <v>0</v>
      </c>
      <c r="B1" s="1341"/>
      <c r="C1" s="1341"/>
      <c r="D1" s="1341"/>
      <c r="E1" s="1341"/>
      <c r="F1" s="1342"/>
    </row>
    <row r="2" spans="1:11" s="1" customFormat="1" x14ac:dyDescent="0.25">
      <c r="A2" s="1340" t="s">
        <v>1</v>
      </c>
      <c r="B2" s="1341"/>
      <c r="C2" s="1341"/>
      <c r="D2" s="1341"/>
      <c r="E2" s="1341"/>
      <c r="F2" s="1342"/>
    </row>
    <row r="3" spans="1:11" s="1" customFormat="1" x14ac:dyDescent="0.25">
      <c r="A3" s="1343"/>
      <c r="B3" s="1344"/>
      <c r="C3" s="1344"/>
      <c r="D3" s="1344"/>
      <c r="E3" s="1344"/>
      <c r="F3" s="1345"/>
    </row>
    <row r="4" spans="1:11" s="1" customFormat="1" x14ac:dyDescent="0.25">
      <c r="A4" s="836"/>
      <c r="B4" s="836"/>
      <c r="C4" s="836"/>
      <c r="D4" s="836"/>
      <c r="E4" s="836"/>
      <c r="F4" s="836"/>
    </row>
    <row r="5" spans="1:11" s="1" customFormat="1" x14ac:dyDescent="0.25">
      <c r="A5" s="1346" t="s">
        <v>772</v>
      </c>
      <c r="B5" s="1347"/>
      <c r="C5" s="1347"/>
      <c r="D5" s="1347"/>
      <c r="E5" s="1347"/>
      <c r="F5" s="1348"/>
    </row>
    <row r="6" spans="1:11" s="1" customFormat="1" x14ac:dyDescent="0.25">
      <c r="A6" s="836"/>
      <c r="B6" s="836"/>
      <c r="C6" s="836"/>
      <c r="D6" s="836"/>
      <c r="E6" s="836"/>
      <c r="F6" s="836"/>
    </row>
    <row r="8" spans="1:11" s="1" customFormat="1" ht="15.75" thickBot="1" x14ac:dyDescent="0.3">
      <c r="B8" s="1339" t="s">
        <v>773</v>
      </c>
      <c r="C8" s="1339"/>
      <c r="D8" s="1339"/>
      <c r="E8" s="1339"/>
      <c r="F8" s="1339"/>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33.429940000000002</v>
      </c>
      <c r="F10" s="839"/>
      <c r="G10" s="840"/>
    </row>
    <row r="11" spans="1:11" s="1" customFormat="1" ht="15.75" thickBot="1" x14ac:dyDescent="0.3">
      <c r="B11" s="842" t="s">
        <v>776</v>
      </c>
      <c r="C11" s="842" t="s">
        <v>777</v>
      </c>
      <c r="D11" s="842" t="s">
        <v>775</v>
      </c>
      <c r="E11" s="843">
        <f>E13+E17+E21+E22+E23+E24</f>
        <v>16.648865293666578</v>
      </c>
      <c r="F11" s="844"/>
      <c r="G11" s="845"/>
    </row>
    <row r="12" spans="1:11" s="1" customFormat="1" ht="15.75" thickBot="1" x14ac:dyDescent="0.3">
      <c r="B12" s="846" t="s">
        <v>778</v>
      </c>
      <c r="C12" s="846" t="s">
        <v>779</v>
      </c>
      <c r="D12" s="846" t="s">
        <v>775</v>
      </c>
      <c r="E12" s="847">
        <f>E13+E17+E22+E21</f>
        <v>12.729939999999999</v>
      </c>
      <c r="F12" s="848"/>
      <c r="G12" s="840"/>
    </row>
    <row r="13" spans="1:11" s="1" customFormat="1" ht="18.75" customHeight="1" x14ac:dyDescent="0.25">
      <c r="B13" s="849" t="s">
        <v>138</v>
      </c>
      <c r="C13" s="849" t="s">
        <v>712</v>
      </c>
      <c r="D13" s="850" t="s">
        <v>775</v>
      </c>
      <c r="E13" s="851">
        <f>SUM(E14:E16)</f>
        <v>3.7497400000000001</v>
      </c>
      <c r="F13" s="852"/>
      <c r="G13" s="840"/>
    </row>
    <row r="14" spans="1:11" s="1" customFormat="1" x14ac:dyDescent="0.25">
      <c r="B14" s="853" t="s">
        <v>713</v>
      </c>
      <c r="C14" s="854" t="s">
        <v>690</v>
      </c>
      <c r="D14" s="853" t="s">
        <v>775</v>
      </c>
      <c r="E14" s="855">
        <v>0.502</v>
      </c>
      <c r="F14" s="856"/>
      <c r="G14" s="840"/>
    </row>
    <row r="15" spans="1:11" s="1" customFormat="1" x14ac:dyDescent="0.25">
      <c r="B15" s="853" t="s">
        <v>714</v>
      </c>
      <c r="C15" s="854" t="s">
        <v>692</v>
      </c>
      <c r="D15" s="853" t="s">
        <v>775</v>
      </c>
      <c r="E15" s="855">
        <v>0.498</v>
      </c>
      <c r="F15" s="856"/>
      <c r="G15" s="840"/>
      <c r="K15" s="857"/>
    </row>
    <row r="16" spans="1:11" s="1" customFormat="1" ht="15.75" thickBot="1" x14ac:dyDescent="0.3">
      <c r="B16" s="858" t="s">
        <v>715</v>
      </c>
      <c r="C16" s="859" t="s">
        <v>694</v>
      </c>
      <c r="D16" s="858" t="s">
        <v>775</v>
      </c>
      <c r="E16" s="860">
        <v>2.7497400000000001</v>
      </c>
      <c r="F16" s="861"/>
    </row>
    <row r="17" spans="2:6" s="1" customFormat="1" ht="23.25" customHeight="1" x14ac:dyDescent="0.25">
      <c r="B17" s="862" t="s">
        <v>140</v>
      </c>
      <c r="C17" s="862" t="s">
        <v>716</v>
      </c>
      <c r="D17" s="863" t="s">
        <v>775</v>
      </c>
      <c r="E17" s="864">
        <f>SUM(E18:E20)</f>
        <v>8.0302000000000007</v>
      </c>
      <c r="F17" s="865"/>
    </row>
    <row r="18" spans="2:6" s="1" customFormat="1" x14ac:dyDescent="0.25">
      <c r="B18" s="853" t="s">
        <v>717</v>
      </c>
      <c r="C18" s="854" t="s">
        <v>718</v>
      </c>
      <c r="D18" s="853" t="s">
        <v>775</v>
      </c>
      <c r="E18" s="855">
        <v>2.2000000000000002</v>
      </c>
      <c r="F18" s="856"/>
    </row>
    <row r="19" spans="2:6" s="1" customFormat="1" x14ac:dyDescent="0.25">
      <c r="B19" s="853" t="s">
        <v>719</v>
      </c>
      <c r="C19" s="854" t="s">
        <v>698</v>
      </c>
      <c r="D19" s="853" t="s">
        <v>775</v>
      </c>
      <c r="E19" s="855">
        <v>5.1552000000000007</v>
      </c>
      <c r="F19" s="856"/>
    </row>
    <row r="20" spans="2:6" s="1" customFormat="1" ht="15.75" thickBot="1" x14ac:dyDescent="0.3">
      <c r="B20" s="853" t="s">
        <v>720</v>
      </c>
      <c r="C20" s="854" t="s">
        <v>700</v>
      </c>
      <c r="D20" s="853" t="s">
        <v>775</v>
      </c>
      <c r="E20" s="855">
        <v>0.67500000000000004</v>
      </c>
      <c r="F20" s="856"/>
    </row>
    <row r="21" spans="2:6" s="1" customFormat="1" ht="15.75" thickBot="1" x14ac:dyDescent="0.3">
      <c r="B21" s="866" t="s">
        <v>607</v>
      </c>
      <c r="C21" s="866" t="s">
        <v>721</v>
      </c>
      <c r="D21" s="867" t="s">
        <v>775</v>
      </c>
      <c r="E21" s="868">
        <v>0</v>
      </c>
      <c r="F21" s="839"/>
    </row>
    <row r="22" spans="2:6" s="1" customFormat="1" ht="15.75" thickBot="1" x14ac:dyDescent="0.3">
      <c r="B22" s="866" t="s">
        <v>722</v>
      </c>
      <c r="C22" s="869" t="s">
        <v>723</v>
      </c>
      <c r="D22" s="866" t="s">
        <v>775</v>
      </c>
      <c r="E22" s="868">
        <v>0.95</v>
      </c>
      <c r="F22" s="839"/>
    </row>
    <row r="23" spans="2:6" s="1" customFormat="1" ht="15.75" thickBot="1" x14ac:dyDescent="0.3">
      <c r="B23" s="837" t="s">
        <v>780</v>
      </c>
      <c r="C23" s="837" t="s">
        <v>781</v>
      </c>
      <c r="D23" s="837" t="s">
        <v>775</v>
      </c>
      <c r="E23" s="868">
        <v>0</v>
      </c>
      <c r="F23" s="839"/>
    </row>
    <row r="24" spans="2:6" s="1" customFormat="1" ht="15.75" thickBot="1" x14ac:dyDescent="0.3">
      <c r="B24" s="837" t="s">
        <v>302</v>
      </c>
      <c r="C24" s="870" t="s">
        <v>782</v>
      </c>
      <c r="D24" s="837" t="s">
        <v>775</v>
      </c>
      <c r="E24" s="868">
        <v>3.9189252936665779</v>
      </c>
      <c r="F24" s="839"/>
    </row>
    <row r="25" spans="2:6" s="1" customFormat="1" ht="15.75" thickBot="1" x14ac:dyDescent="0.3">
      <c r="B25" s="846" t="s">
        <v>783</v>
      </c>
      <c r="C25" s="846" t="s">
        <v>784</v>
      </c>
      <c r="D25" s="846" t="s">
        <v>775</v>
      </c>
      <c r="E25" s="871">
        <v>16.78107470633342</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1226.596821824091</v>
      </c>
      <c r="F27" s="877"/>
    </row>
    <row r="28" spans="2:6" s="1" customFormat="1" ht="15.75" thickBot="1" x14ac:dyDescent="0.3">
      <c r="B28" s="878" t="s">
        <v>790</v>
      </c>
      <c r="C28" s="879" t="s">
        <v>791</v>
      </c>
      <c r="D28" s="878" t="s">
        <v>770</v>
      </c>
      <c r="E28" s="880">
        <f>VAS073_F_Darbouzmokesci23IsViso</f>
        <v>55.19303</v>
      </c>
      <c r="F28" s="881" t="s">
        <v>148</v>
      </c>
    </row>
    <row r="29" spans="2:6" s="1" customFormat="1" x14ac:dyDescent="0.25">
      <c r="B29" s="862" t="s">
        <v>69</v>
      </c>
      <c r="C29" s="850" t="s">
        <v>792</v>
      </c>
      <c r="D29" s="850" t="s">
        <v>789</v>
      </c>
      <c r="E29" s="882">
        <f>IFERROR(E30/E17/12*1000, 0)</f>
        <v>1098.2917611018406</v>
      </c>
      <c r="F29" s="883"/>
    </row>
    <row r="30" spans="2:6" s="1" customFormat="1" ht="15.75" thickBot="1" x14ac:dyDescent="0.3">
      <c r="B30" s="884" t="s">
        <v>580</v>
      </c>
      <c r="C30" s="879" t="s">
        <v>793</v>
      </c>
      <c r="D30" s="878" t="s">
        <v>770</v>
      </c>
      <c r="E30" s="885">
        <f>VAS073_F_Darbouzmokesci24IsViso</f>
        <v>105.83403</v>
      </c>
      <c r="F30" s="881" t="s">
        <v>148</v>
      </c>
    </row>
    <row r="31" spans="2:6" s="1" customFormat="1" x14ac:dyDescent="0.25">
      <c r="B31" s="846" t="s">
        <v>71</v>
      </c>
      <c r="C31" s="886" t="s">
        <v>794</v>
      </c>
      <c r="D31" s="850" t="s">
        <v>789</v>
      </c>
      <c r="E31" s="887">
        <f>IFERROR(E32/E21/12*1000, 0)</f>
        <v>0</v>
      </c>
      <c r="F31" s="883"/>
    </row>
    <row r="32" spans="2:6" s="1" customFormat="1" ht="15.75" thickBot="1" x14ac:dyDescent="0.3">
      <c r="B32" s="884" t="s">
        <v>795</v>
      </c>
      <c r="C32" s="879" t="s">
        <v>796</v>
      </c>
      <c r="D32" s="878" t="s">
        <v>770</v>
      </c>
      <c r="E32" s="885">
        <f>VAS073_F_Darbouzmokesci25PavirsiniuNuoteku</f>
        <v>0</v>
      </c>
      <c r="F32" s="881" t="s">
        <v>148</v>
      </c>
    </row>
    <row r="33" spans="2:6" s="1" customFormat="1" x14ac:dyDescent="0.25">
      <c r="B33" s="850" t="s">
        <v>73</v>
      </c>
      <c r="C33" s="888" t="s">
        <v>797</v>
      </c>
      <c r="D33" s="846" t="s">
        <v>789</v>
      </c>
      <c r="E33" s="889">
        <f>IFERROR(E34/E22/12*1000, 0)</f>
        <v>1133.6543859649121</v>
      </c>
      <c r="F33" s="890"/>
    </row>
    <row r="34" spans="2:6" s="1" customFormat="1" ht="15.75" thickBot="1" x14ac:dyDescent="0.3">
      <c r="B34" s="884" t="s">
        <v>798</v>
      </c>
      <c r="C34" s="879" t="s">
        <v>799</v>
      </c>
      <c r="D34" s="878" t="s">
        <v>770</v>
      </c>
      <c r="E34" s="885">
        <f>VAS073_F_Darbouzmokesci22ApskaitosVeikla</f>
        <v>12.923659999999998</v>
      </c>
      <c r="F34" s="881" t="s">
        <v>148</v>
      </c>
    </row>
    <row r="35" spans="2:6" s="1" customFormat="1" x14ac:dyDescent="0.25">
      <c r="B35" s="850" t="s">
        <v>75</v>
      </c>
      <c r="C35" s="863" t="s">
        <v>800</v>
      </c>
      <c r="D35" s="850" t="s">
        <v>789</v>
      </c>
      <c r="E35" s="891">
        <f>IFERROR(E36/E23/12*1000, 0)</f>
        <v>0</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0</v>
      </c>
      <c r="F36" s="881" t="s">
        <v>148</v>
      </c>
    </row>
    <row r="37" spans="2:6" s="1" customFormat="1" x14ac:dyDescent="0.25">
      <c r="B37" s="850" t="s">
        <v>466</v>
      </c>
      <c r="C37" s="863" t="s">
        <v>803</v>
      </c>
      <c r="D37" s="850" t="s">
        <v>789</v>
      </c>
      <c r="E37" s="891">
        <f>IFERROR(E38/E24/12*1000, 0)</f>
        <v>1680.7063440860218</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79.038751236775113</v>
      </c>
      <c r="F38" s="881" t="s">
        <v>148</v>
      </c>
    </row>
    <row r="39" spans="2:6" s="1" customFormat="1" ht="15.75" thickBot="1" x14ac:dyDescent="0.3">
      <c r="B39" s="892" t="s">
        <v>470</v>
      </c>
      <c r="C39" s="893" t="s">
        <v>806</v>
      </c>
      <c r="D39" s="894" t="s">
        <v>789</v>
      </c>
      <c r="E39" s="895">
        <f>IFERROR((E28+E30+E32+E34+E36+E38)/E11/12*1000, 0)</f>
        <v>1266.2998687615025</v>
      </c>
      <c r="F39" s="896"/>
    </row>
    <row r="40" spans="2:6" s="1" customFormat="1" ht="26.25" thickBot="1" x14ac:dyDescent="0.3">
      <c r="B40" s="837" t="s">
        <v>474</v>
      </c>
      <c r="C40" s="897" t="s">
        <v>807</v>
      </c>
      <c r="D40" s="837" t="s">
        <v>775</v>
      </c>
      <c r="E40" s="898">
        <f>IFERROR((E12+E23)/E24, 0)</f>
        <v>3.2483242333231019</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a/RK0gy31KbfVuo3BCN2NRElZoEVxMqrW6MjcNodQtg5zzq6VBQTS6O39+etTUMjWKIQJqKh//6Q/Aqna35r8g==" saltValue="grsbgFlexT9xiQxHGB7nx5z3dNFtRa8qG6//TaW9k+lngxVJP2kCXRbQ9FaHGRnaUiLo4a48oVt0291eKSEVsw=="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83"/>
  <sheetViews>
    <sheetView topLeftCell="A52" workbookViewId="0">
      <selection activeCell="C86" sqref="C86"/>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49" t="s">
        <v>0</v>
      </c>
      <c r="B1" s="1350"/>
      <c r="C1" s="1350"/>
      <c r="D1" s="1350"/>
      <c r="E1" s="1351"/>
    </row>
    <row r="2" spans="1:7" s="1" customFormat="1" x14ac:dyDescent="0.25">
      <c r="A2" s="1349" t="s">
        <v>1</v>
      </c>
      <c r="B2" s="1350"/>
      <c r="C2" s="1350"/>
      <c r="D2" s="1350"/>
      <c r="E2" s="1351"/>
    </row>
    <row r="3" spans="1:7" s="1" customFormat="1" x14ac:dyDescent="0.25">
      <c r="A3" s="1352"/>
      <c r="B3" s="1353"/>
      <c r="C3" s="1353"/>
      <c r="D3" s="1353"/>
      <c r="E3" s="1354"/>
    </row>
    <row r="4" spans="1:7" s="1" customFormat="1" x14ac:dyDescent="0.25">
      <c r="A4" s="901"/>
      <c r="B4" s="901"/>
      <c r="C4" s="901"/>
      <c r="D4" s="901"/>
      <c r="E4" s="901"/>
    </row>
    <row r="5" spans="1:7" s="1" customFormat="1" x14ac:dyDescent="0.25">
      <c r="A5" s="1355" t="s">
        <v>808</v>
      </c>
      <c r="B5" s="1356"/>
      <c r="C5" s="1356"/>
      <c r="D5" s="1356"/>
      <c r="E5" s="135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200.23099999999999</v>
      </c>
      <c r="F11" s="916"/>
      <c r="G11" s="907"/>
    </row>
    <row r="12" spans="1:7" s="1" customFormat="1" ht="15.75" thickBot="1" x14ac:dyDescent="0.3">
      <c r="B12" s="917">
        <v>2</v>
      </c>
      <c r="C12" s="918" t="s">
        <v>813</v>
      </c>
      <c r="D12" s="919" t="s">
        <v>742</v>
      </c>
      <c r="E12" s="920">
        <v>168.24299999999999</v>
      </c>
      <c r="F12" s="906"/>
      <c r="G12" s="907"/>
    </row>
    <row r="13" spans="1:7" s="1" customFormat="1" x14ac:dyDescent="0.25">
      <c r="B13" s="921">
        <v>3</v>
      </c>
      <c r="C13" s="922" t="s">
        <v>814</v>
      </c>
      <c r="D13" s="923" t="s">
        <v>742</v>
      </c>
      <c r="E13" s="924">
        <v>171.62899999999999</v>
      </c>
      <c r="F13" s="906"/>
      <c r="G13" s="907"/>
    </row>
    <row r="14" spans="1:7" s="1" customFormat="1" x14ac:dyDescent="0.25">
      <c r="B14" s="925" t="s">
        <v>815</v>
      </c>
      <c r="C14" s="926" t="s">
        <v>816</v>
      </c>
      <c r="D14" s="927" t="s">
        <v>742</v>
      </c>
      <c r="E14" s="928">
        <v>0</v>
      </c>
      <c r="F14" s="929"/>
      <c r="G14" s="907"/>
    </row>
    <row r="15" spans="1:7" s="1" customFormat="1" ht="15.75" thickBot="1" x14ac:dyDescent="0.3">
      <c r="B15" s="930" t="s">
        <v>817</v>
      </c>
      <c r="C15" s="931" t="s">
        <v>818</v>
      </c>
      <c r="D15" s="932" t="s">
        <v>742</v>
      </c>
      <c r="E15" s="933">
        <v>0</v>
      </c>
      <c r="F15" s="929"/>
    </row>
    <row r="16" spans="1:7" s="1" customFormat="1" x14ac:dyDescent="0.25">
      <c r="B16" s="921" t="s">
        <v>819</v>
      </c>
      <c r="C16" s="922" t="s">
        <v>820</v>
      </c>
      <c r="D16" s="934" t="s">
        <v>742</v>
      </c>
      <c r="E16" s="935">
        <f>E17+E21+E23</f>
        <v>146.97023000000002</v>
      </c>
      <c r="F16" s="906"/>
    </row>
    <row r="17" spans="2:7" s="1" customFormat="1" x14ac:dyDescent="0.25">
      <c r="B17" s="936" t="s">
        <v>821</v>
      </c>
      <c r="C17" s="937" t="s">
        <v>822</v>
      </c>
      <c r="D17" s="938" t="s">
        <v>742</v>
      </c>
      <c r="E17" s="939">
        <f>E18+E20</f>
        <v>122.15312</v>
      </c>
      <c r="F17" s="929"/>
    </row>
    <row r="18" spans="2:7" s="1" customFormat="1" x14ac:dyDescent="0.25">
      <c r="B18" s="925" t="s">
        <v>823</v>
      </c>
      <c r="C18" s="926" t="s">
        <v>824</v>
      </c>
      <c r="D18" s="927" t="s">
        <v>742</v>
      </c>
      <c r="E18" s="940">
        <v>45.782109999999996</v>
      </c>
      <c r="F18" s="941"/>
    </row>
    <row r="19" spans="2:7" s="1" customFormat="1" x14ac:dyDescent="0.25">
      <c r="B19" s="942" t="s">
        <v>825</v>
      </c>
      <c r="C19" s="943" t="s">
        <v>818</v>
      </c>
      <c r="D19" s="944" t="s">
        <v>742</v>
      </c>
      <c r="E19" s="940">
        <v>5.2411099999999999</v>
      </c>
      <c r="F19" s="945"/>
    </row>
    <row r="20" spans="2:7" s="1" customFormat="1" x14ac:dyDescent="0.25">
      <c r="B20" s="925" t="s">
        <v>826</v>
      </c>
      <c r="C20" s="926" t="s">
        <v>827</v>
      </c>
      <c r="D20" s="927" t="s">
        <v>742</v>
      </c>
      <c r="E20" s="940">
        <v>76.371009999999998</v>
      </c>
      <c r="F20" s="946"/>
    </row>
    <row r="21" spans="2:7" s="1" customFormat="1" x14ac:dyDescent="0.25">
      <c r="B21" s="936" t="s">
        <v>828</v>
      </c>
      <c r="C21" s="937" t="s">
        <v>829</v>
      </c>
      <c r="D21" s="938" t="s">
        <v>742</v>
      </c>
      <c r="E21" s="947">
        <v>24.81711</v>
      </c>
      <c r="F21" s="929"/>
    </row>
    <row r="22" spans="2:7" s="1" customFormat="1" x14ac:dyDescent="0.25">
      <c r="B22" s="925" t="s">
        <v>830</v>
      </c>
      <c r="C22" s="926" t="s">
        <v>831</v>
      </c>
      <c r="D22" s="927" t="s">
        <v>742</v>
      </c>
      <c r="E22" s="940">
        <v>0</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0</v>
      </c>
      <c r="F24" s="929"/>
      <c r="G24" s="952"/>
    </row>
    <row r="25" spans="2:7" s="1" customFormat="1" x14ac:dyDescent="0.25">
      <c r="B25" s="953" t="s">
        <v>836</v>
      </c>
      <c r="C25" s="954" t="s">
        <v>837</v>
      </c>
      <c r="D25" s="955" t="s">
        <v>742</v>
      </c>
      <c r="E25" s="956">
        <f>E11-E16-E24</f>
        <v>53.26076999999998</v>
      </c>
      <c r="F25" s="906"/>
    </row>
    <row r="26" spans="2:7" s="1" customFormat="1" x14ac:dyDescent="0.25">
      <c r="B26" s="957" t="s">
        <v>838</v>
      </c>
      <c r="C26" s="926" t="s">
        <v>839</v>
      </c>
      <c r="D26" s="927" t="s">
        <v>742</v>
      </c>
      <c r="E26" s="958">
        <f>E11-E13</f>
        <v>28.602000000000004</v>
      </c>
      <c r="F26" s="907"/>
      <c r="G26" s="959"/>
    </row>
    <row r="27" spans="2:7" s="1" customFormat="1" x14ac:dyDescent="0.25">
      <c r="B27" s="957" t="s">
        <v>840</v>
      </c>
      <c r="C27" s="926" t="s">
        <v>841</v>
      </c>
      <c r="D27" s="927" t="s">
        <v>742</v>
      </c>
      <c r="E27" s="958">
        <f>E13-E16-E24-E29</f>
        <v>70.440879999999964</v>
      </c>
      <c r="F27" s="907"/>
      <c r="G27" s="959"/>
    </row>
    <row r="28" spans="2:7" s="1" customFormat="1" x14ac:dyDescent="0.25">
      <c r="B28" s="925" t="s">
        <v>842</v>
      </c>
      <c r="C28" s="926" t="s">
        <v>843</v>
      </c>
      <c r="D28" s="927" t="s">
        <v>742</v>
      </c>
      <c r="E28" s="960">
        <f>$E$14-$E$18</f>
        <v>-45.782109999999996</v>
      </c>
      <c r="F28" s="906"/>
    </row>
    <row r="29" spans="2:7" s="1" customFormat="1" x14ac:dyDescent="0.25">
      <c r="B29" s="942" t="s">
        <v>844</v>
      </c>
      <c r="C29" s="943" t="s">
        <v>845</v>
      </c>
      <c r="D29" s="944" t="s">
        <v>742</v>
      </c>
      <c r="E29" s="961">
        <f>$E$14-$E$18</f>
        <v>-45.782109999999996</v>
      </c>
      <c r="F29" s="906"/>
    </row>
    <row r="30" spans="2:7" s="1" customFormat="1" ht="15.75" thickBot="1" x14ac:dyDescent="0.3">
      <c r="B30" s="942" t="s">
        <v>846</v>
      </c>
      <c r="C30" s="962" t="s">
        <v>847</v>
      </c>
      <c r="D30" s="963" t="s">
        <v>742</v>
      </c>
      <c r="E30" s="964">
        <f>E15-E19</f>
        <v>-5.2411099999999999</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227.58750999999998</v>
      </c>
      <c r="F32" s="906"/>
    </row>
    <row r="33" spans="2:6" s="1" customFormat="1" x14ac:dyDescent="0.25">
      <c r="B33" s="925" t="s">
        <v>851</v>
      </c>
      <c r="C33" s="926" t="s">
        <v>852</v>
      </c>
      <c r="D33" s="927" t="s">
        <v>742</v>
      </c>
      <c r="E33" s="965">
        <v>226.7</v>
      </c>
      <c r="F33" s="907"/>
    </row>
    <row r="34" spans="2:6" s="1" customFormat="1" ht="15.75" thickBot="1" x14ac:dyDescent="0.3">
      <c r="B34" s="925" t="s">
        <v>853</v>
      </c>
      <c r="C34" s="966" t="s">
        <v>854</v>
      </c>
      <c r="D34" s="927" t="s">
        <v>742</v>
      </c>
      <c r="E34" s="965">
        <v>0.88751000000000002</v>
      </c>
      <c r="F34" s="907"/>
    </row>
    <row r="35" spans="2:6" s="1" customFormat="1" ht="26.25" thickBot="1" x14ac:dyDescent="0.3">
      <c r="B35" s="967" t="s">
        <v>855</v>
      </c>
      <c r="C35" s="968" t="s">
        <v>856</v>
      </c>
      <c r="D35" s="969" t="s">
        <v>742</v>
      </c>
      <c r="E35" s="970">
        <v>215.86099999999999</v>
      </c>
      <c r="F35" s="971"/>
    </row>
    <row r="36" spans="2:6" s="1" customFormat="1" ht="15.75" thickBot="1" x14ac:dyDescent="0.3">
      <c r="B36" s="948" t="s">
        <v>857</v>
      </c>
      <c r="C36" s="949" t="s">
        <v>858</v>
      </c>
      <c r="D36" s="969" t="s">
        <v>742</v>
      </c>
      <c r="E36" s="951">
        <v>226.7</v>
      </c>
      <c r="F36" s="906"/>
    </row>
    <row r="37" spans="2:6" s="1" customFormat="1" ht="15.75" thickBot="1" x14ac:dyDescent="0.3">
      <c r="B37" s="972" t="s">
        <v>859</v>
      </c>
      <c r="C37" s="973" t="s">
        <v>860</v>
      </c>
      <c r="D37" s="923" t="s">
        <v>742</v>
      </c>
      <c r="E37" s="974">
        <v>226.7</v>
      </c>
      <c r="F37" s="975"/>
    </row>
    <row r="38" spans="2:6" s="1" customFormat="1" ht="26.25" thickBot="1" x14ac:dyDescent="0.3">
      <c r="B38" s="976" t="s">
        <v>861</v>
      </c>
      <c r="C38" s="977" t="s">
        <v>862</v>
      </c>
      <c r="D38" s="978" t="s">
        <v>742</v>
      </c>
      <c r="E38" s="979">
        <f>E39+E43+E46</f>
        <v>122.95588000000001</v>
      </c>
      <c r="F38" s="907"/>
    </row>
    <row r="39" spans="2:6" s="1" customFormat="1" x14ac:dyDescent="0.25">
      <c r="B39" s="921" t="s">
        <v>863</v>
      </c>
      <c r="C39" s="922" t="s">
        <v>864</v>
      </c>
      <c r="D39" s="923" t="s">
        <v>742</v>
      </c>
      <c r="E39" s="935">
        <f>E40+E42</f>
        <v>95.797570000000007</v>
      </c>
      <c r="F39" s="929"/>
    </row>
    <row r="40" spans="2:6" s="1" customFormat="1" x14ac:dyDescent="0.25">
      <c r="B40" s="925" t="s">
        <v>865</v>
      </c>
      <c r="C40" s="926" t="s">
        <v>866</v>
      </c>
      <c r="D40" s="927" t="s">
        <v>742</v>
      </c>
      <c r="E40" s="965">
        <v>43.616700000000002</v>
      </c>
      <c r="F40" s="907"/>
    </row>
    <row r="41" spans="2:6" s="1" customFormat="1" x14ac:dyDescent="0.25">
      <c r="B41" s="942" t="s">
        <v>867</v>
      </c>
      <c r="C41" s="943" t="s">
        <v>868</v>
      </c>
      <c r="D41" s="944" t="s">
        <v>742</v>
      </c>
      <c r="E41" s="940">
        <v>5.2411099999999999</v>
      </c>
      <c r="F41" s="945"/>
    </row>
    <row r="42" spans="2:6" s="1" customFormat="1" ht="15.75" thickBot="1" x14ac:dyDescent="0.3">
      <c r="B42" s="930" t="s">
        <v>869</v>
      </c>
      <c r="C42" s="931" t="s">
        <v>827</v>
      </c>
      <c r="D42" s="932" t="s">
        <v>742</v>
      </c>
      <c r="E42" s="933">
        <v>52.180869999999999</v>
      </c>
      <c r="F42" s="946"/>
    </row>
    <row r="43" spans="2:6" s="1" customFormat="1" x14ac:dyDescent="0.25">
      <c r="B43" s="921" t="s">
        <v>870</v>
      </c>
      <c r="C43" s="922" t="s">
        <v>871</v>
      </c>
      <c r="D43" s="923" t="s">
        <v>742</v>
      </c>
      <c r="E43" s="924">
        <v>27.15831</v>
      </c>
      <c r="F43" s="929"/>
    </row>
    <row r="44" spans="2:6" s="1" customFormat="1" x14ac:dyDescent="0.25">
      <c r="B44" s="925" t="s">
        <v>872</v>
      </c>
      <c r="C44" s="980" t="s">
        <v>873</v>
      </c>
      <c r="D44" s="944" t="s">
        <v>742</v>
      </c>
      <c r="E44" s="965">
        <v>27.15831</v>
      </c>
      <c r="F44" s="907"/>
    </row>
    <row r="45" spans="2:6" s="1" customFormat="1" ht="15.75" thickBot="1" x14ac:dyDescent="0.3">
      <c r="B45" s="981" t="s">
        <v>874</v>
      </c>
      <c r="C45" s="982" t="s">
        <v>875</v>
      </c>
      <c r="D45" s="932" t="s">
        <v>742</v>
      </c>
      <c r="E45" s="983">
        <v>27.15831</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104.63162999999997</v>
      </c>
      <c r="F47" s="945"/>
    </row>
    <row r="48" spans="2:6" s="1" customFormat="1" x14ac:dyDescent="0.25">
      <c r="B48" s="925" t="s">
        <v>880</v>
      </c>
      <c r="C48" s="926" t="s">
        <v>881</v>
      </c>
      <c r="D48" s="927" t="s">
        <v>742</v>
      </c>
      <c r="E48" s="984">
        <f>E47-E49</f>
        <v>148.24832999999998</v>
      </c>
      <c r="F48" s="929"/>
    </row>
    <row r="49" spans="2:6" s="1" customFormat="1" x14ac:dyDescent="0.25">
      <c r="B49" s="925" t="s">
        <v>882</v>
      </c>
      <c r="C49" s="926" t="s">
        <v>883</v>
      </c>
      <c r="D49" s="927" t="s">
        <v>742</v>
      </c>
      <c r="E49" s="984">
        <f>E14-E40</f>
        <v>-43.616700000000002</v>
      </c>
      <c r="F49" s="929"/>
    </row>
    <row r="50" spans="2:6" s="1" customFormat="1" ht="15.75" thickBot="1" x14ac:dyDescent="0.3">
      <c r="B50" s="930" t="s">
        <v>884</v>
      </c>
      <c r="C50" s="985" t="s">
        <v>885</v>
      </c>
      <c r="D50" s="932" t="s">
        <v>742</v>
      </c>
      <c r="E50" s="986">
        <v>-5.2411099999999999</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v>0</v>
      </c>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0</v>
      </c>
    </row>
    <row r="57" spans="2:6" s="1" customFormat="1" x14ac:dyDescent="0.25">
      <c r="B57" s="981" t="s">
        <v>897</v>
      </c>
      <c r="C57" s="989" t="s">
        <v>890</v>
      </c>
      <c r="D57" s="927" t="s">
        <v>742</v>
      </c>
      <c r="E57" s="920">
        <v>0</v>
      </c>
    </row>
    <row r="58" spans="2:6" s="1" customFormat="1" ht="15.75" thickBot="1" x14ac:dyDescent="0.3">
      <c r="B58" s="981" t="s">
        <v>898</v>
      </c>
      <c r="C58" s="992" t="s">
        <v>892</v>
      </c>
      <c r="D58" s="993" t="s">
        <v>742</v>
      </c>
      <c r="E58" s="983">
        <v>0</v>
      </c>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26.59966238993961</v>
      </c>
    </row>
    <row r="62" spans="2:6" s="1" customFormat="1" ht="15.75" thickBot="1" x14ac:dyDescent="0.3">
      <c r="B62" s="1002" t="s">
        <v>905</v>
      </c>
      <c r="C62" s="1003" t="s">
        <v>906</v>
      </c>
      <c r="D62" s="1003" t="s">
        <v>904</v>
      </c>
      <c r="E62" s="1004">
        <f>IF(E11=0,0,E26/E11*100)</f>
        <v>14.284501400881982</v>
      </c>
    </row>
    <row r="63" spans="2:6" s="1" customFormat="1" ht="26.25" thickBot="1" x14ac:dyDescent="0.3">
      <c r="B63" s="999" t="s">
        <v>907</v>
      </c>
      <c r="C63" s="1000" t="s">
        <v>908</v>
      </c>
      <c r="D63" s="1000" t="s">
        <v>904</v>
      </c>
      <c r="E63" s="1001">
        <f>IF(E32=0,0,E47/E32*100)</f>
        <v>45.974240853551223</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7258</v>
      </c>
    </row>
    <row r="67" spans="2:6" s="1" customFormat="1" ht="15.75" thickBot="1" x14ac:dyDescent="0.3">
      <c r="B67" s="948" t="s">
        <v>914</v>
      </c>
      <c r="C67" s="950" t="s">
        <v>915</v>
      </c>
      <c r="D67" s="1009" t="s">
        <v>916</v>
      </c>
      <c r="E67" s="1010">
        <v>2706</v>
      </c>
    </row>
    <row r="68" spans="2:6" s="1" customFormat="1" x14ac:dyDescent="0.25">
      <c r="B68" s="921" t="s">
        <v>917</v>
      </c>
      <c r="C68" s="923" t="s">
        <v>918</v>
      </c>
      <c r="D68" s="934" t="s">
        <v>916</v>
      </c>
      <c r="E68" s="1011">
        <f>E69+E72+E73+E74+E75</f>
        <v>2360</v>
      </c>
    </row>
    <row r="69" spans="2:6" s="1" customFormat="1" x14ac:dyDescent="0.25">
      <c r="B69" s="981" t="s">
        <v>919</v>
      </c>
      <c r="C69" s="927" t="s">
        <v>920</v>
      </c>
      <c r="D69" s="927" t="s">
        <v>916</v>
      </c>
      <c r="E69" s="1012">
        <f>SUM(E70:E71)</f>
        <v>1785</v>
      </c>
    </row>
    <row r="70" spans="2:6" s="1" customFormat="1" x14ac:dyDescent="0.25">
      <c r="B70" s="942" t="s">
        <v>921</v>
      </c>
      <c r="C70" s="1013" t="s">
        <v>922</v>
      </c>
      <c r="D70" s="944" t="s">
        <v>916</v>
      </c>
      <c r="E70" s="1014">
        <v>908</v>
      </c>
    </row>
    <row r="71" spans="2:6" s="1" customFormat="1" x14ac:dyDescent="0.25">
      <c r="B71" s="942" t="s">
        <v>923</v>
      </c>
      <c r="C71" s="1013" t="s">
        <v>924</v>
      </c>
      <c r="D71" s="944" t="s">
        <v>916</v>
      </c>
      <c r="E71" s="1014">
        <v>877</v>
      </c>
    </row>
    <row r="72" spans="2:6" s="1" customFormat="1" x14ac:dyDescent="0.25">
      <c r="B72" s="925" t="s">
        <v>925</v>
      </c>
      <c r="C72" s="927" t="s">
        <v>926</v>
      </c>
      <c r="D72" s="927" t="s">
        <v>916</v>
      </c>
      <c r="E72" s="1015">
        <v>440</v>
      </c>
      <c r="F72" s="1016"/>
    </row>
    <row r="73" spans="2:6" s="1" customFormat="1" x14ac:dyDescent="0.25">
      <c r="B73" s="925" t="s">
        <v>927</v>
      </c>
      <c r="C73" s="927" t="s">
        <v>928</v>
      </c>
      <c r="D73" s="927" t="s">
        <v>916</v>
      </c>
      <c r="E73" s="1015">
        <v>74</v>
      </c>
      <c r="F73" s="1016"/>
    </row>
    <row r="74" spans="2:6" s="1" customFormat="1" x14ac:dyDescent="0.25">
      <c r="B74" s="991" t="s">
        <v>929</v>
      </c>
      <c r="C74" s="1017" t="s">
        <v>930</v>
      </c>
      <c r="D74" s="1018" t="s">
        <v>916</v>
      </c>
      <c r="E74" s="1019">
        <v>61</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94</v>
      </c>
    </row>
    <row r="77" spans="2:6" s="1" customFormat="1" x14ac:dyDescent="0.25">
      <c r="B77" s="925" t="s">
        <v>935</v>
      </c>
      <c r="C77" s="927" t="s">
        <v>936</v>
      </c>
      <c r="D77" s="927" t="s">
        <v>916</v>
      </c>
      <c r="E77" s="1015">
        <v>52</v>
      </c>
    </row>
    <row r="78" spans="2:6" s="1" customFormat="1" x14ac:dyDescent="0.25">
      <c r="B78" s="981" t="s">
        <v>937</v>
      </c>
      <c r="C78" s="993" t="s">
        <v>938</v>
      </c>
      <c r="D78" s="993" t="s">
        <v>916</v>
      </c>
      <c r="E78" s="1008">
        <v>41</v>
      </c>
    </row>
    <row r="79" spans="2:6" s="1" customFormat="1" ht="15.75" thickBot="1" x14ac:dyDescent="0.3">
      <c r="B79" s="925" t="s">
        <v>939</v>
      </c>
      <c r="C79" s="927" t="s">
        <v>940</v>
      </c>
      <c r="D79" s="927" t="s">
        <v>916</v>
      </c>
      <c r="E79" s="1015">
        <v>1</v>
      </c>
    </row>
    <row r="80" spans="2:6" s="1" customFormat="1" x14ac:dyDescent="0.25">
      <c r="B80" s="921" t="s">
        <v>941</v>
      </c>
      <c r="C80" s="923" t="s">
        <v>942</v>
      </c>
      <c r="D80" s="1025" t="s">
        <v>916</v>
      </c>
      <c r="E80" s="1026">
        <f>SUM(E81:E83)</f>
        <v>2393</v>
      </c>
    </row>
    <row r="81" spans="2:5" s="1" customFormat="1" x14ac:dyDescent="0.25">
      <c r="B81" s="988" t="s">
        <v>943</v>
      </c>
      <c r="C81" s="1027" t="s">
        <v>944</v>
      </c>
      <c r="D81" s="1027" t="s">
        <v>916</v>
      </c>
      <c r="E81" s="1028">
        <v>1837</v>
      </c>
    </row>
    <row r="82" spans="2:5" s="1" customFormat="1" x14ac:dyDescent="0.25">
      <c r="B82" s="981" t="s">
        <v>945</v>
      </c>
      <c r="C82" s="993" t="s">
        <v>946</v>
      </c>
      <c r="D82" s="993" t="s">
        <v>916</v>
      </c>
      <c r="E82" s="1008">
        <v>481</v>
      </c>
    </row>
    <row r="83" spans="2:5" s="1" customFormat="1" ht="15.75" thickBot="1" x14ac:dyDescent="0.3">
      <c r="B83" s="1020" t="s">
        <v>947</v>
      </c>
      <c r="C83" s="1022" t="s">
        <v>948</v>
      </c>
      <c r="D83" s="1022" t="s">
        <v>916</v>
      </c>
      <c r="E83" s="1023">
        <v>75</v>
      </c>
    </row>
  </sheetData>
  <sheetProtection algorithmName="SHA-512" hashValue="HnGzlJHxSX0AjGkUI8imiR7Ad8Uo2f3kRMvw2cExpGfvUS8lCvVDZ7MQ6ItbqPdzC2h9KQq72XWlThqtfydomQ==" saltValue="Bo5Nllpna6zt5XCHcdPVzo1O0iBj4TO6CzJkM+xBkEtAibA6UkA5R1d3W5NRuyfBHxgFTVSlXO/W7DJLF04FVQ=="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Ramute Gailiene</cp:lastModifiedBy>
  <dcterms:created xsi:type="dcterms:W3CDTF">2020-08-26T23:26:02Z</dcterms:created>
  <dcterms:modified xsi:type="dcterms:W3CDTF">2021-06-18T06:23:27Z</dcterms:modified>
</cp:coreProperties>
</file>